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Comparaveis" sheetId="1" state="visible" r:id="rId1"/>
    <sheet xmlns:r="http://schemas.openxmlformats.org/officeDocument/2006/relationships" name="2. Avaliacao 3 metodos" sheetId="2" state="visible" r:id="rId2"/>
    <sheet xmlns:r="http://schemas.openxmlformats.org/officeDocument/2006/relationships" name="3. Custo de carregar" sheetId="3" state="visible" r:id="rId3"/>
    <sheet xmlns:r="http://schemas.openxmlformats.org/officeDocument/2006/relationships" name="4. Cenarios de decisao" sheetId="4" state="visible" r:id="rId4"/>
    <sheet xmlns:r="http://schemas.openxmlformats.org/officeDocument/2006/relationships" name="5. Riscos e diligencia" sheetId="5" state="visible" r:id="rId5"/>
    <sheet xmlns:r="http://schemas.openxmlformats.org/officeDocument/2006/relationships" name="6. Font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R$ #,##0"/>
    <numFmt numFmtId="165" formatCode="0.0%"/>
    <numFmt numFmtId="166" formatCode="R$ #,##0.00"/>
  </numFmts>
  <fonts count="2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14263F"/>
      <sz val="9"/>
    </font>
    <font>
      <name val="Calibri"/>
      <b val="1"/>
      <color rgb="00FFFFFF"/>
      <sz val="10"/>
    </font>
    <font>
      <i val="1"/>
      <color rgb="006B7280"/>
      <sz val="8"/>
    </font>
    <font>
      <b val="1"/>
      <color rgb="002F7D5F"/>
      <sz val="9"/>
    </font>
    <font>
      <color rgb="008B95A5"/>
      <sz val="9"/>
    </font>
    <font>
      <b val="1"/>
      <color rgb="000A1628"/>
      <sz val="11"/>
    </font>
    <font>
      <sz val="10"/>
    </font>
    <font>
      <b val="1"/>
      <color rgb="000A1628"/>
      <sz val="10"/>
    </font>
    <font>
      <b val="1"/>
      <sz val="10"/>
    </font>
    <font>
      <i val="1"/>
      <color rgb="00B3402F"/>
      <sz val="9"/>
    </font>
    <font>
      <b val="1"/>
      <color rgb="00FFFFFF"/>
      <sz val="11"/>
    </font>
    <font>
      <color rgb="00000000"/>
      <sz val="10"/>
    </font>
    <font>
      <b val="1"/>
      <color rgb="00FFFFFF"/>
      <sz val="12"/>
    </font>
    <font>
      <b val="1"/>
      <color rgb="00B3402F"/>
      <sz val="11"/>
    </font>
    <font>
      <b val="1"/>
      <color rgb="00B3402F"/>
      <sz val="10"/>
    </font>
    <font>
      <b val="1"/>
      <color rgb="00FFFFFF"/>
      <sz val="9"/>
    </font>
    <font>
      <i val="1"/>
      <color rgb="004B5563"/>
      <sz val="9"/>
    </font>
    <font>
      <b val="1"/>
      <color rgb="002F7D5F"/>
      <sz val="11"/>
    </font>
    <font>
      <i val="1"/>
      <color rgb="006B7280"/>
      <sz val="9"/>
    </font>
    <font>
      <b val="1"/>
      <color rgb="000A1628"/>
    </font>
    <font>
      <b val="1"/>
      <color rgb="00B3402F"/>
      <sz val="9"/>
    </font>
    <font>
      <color rgb="004B5563"/>
      <sz val="9"/>
    </font>
    <font>
      <b val="1"/>
      <color rgb="00B8860B"/>
      <sz val="9"/>
    </font>
    <font>
      <color rgb="000563C1"/>
      <sz val="9"/>
      <u val="single"/>
    </font>
    <font>
      <i val="1"/>
      <color rgb="00C9A961"/>
      <sz val="9"/>
    </font>
  </fonts>
  <fills count="10">
    <fill>
      <patternFill/>
    </fill>
    <fill>
      <patternFill patternType="gray125"/>
    </fill>
    <fill>
      <patternFill patternType="solid">
        <fgColor rgb="000A1628"/>
      </patternFill>
    </fill>
    <fill>
      <patternFill patternType="solid">
        <fgColor rgb="00F5F3EE"/>
      </patternFill>
    </fill>
    <fill>
      <patternFill patternType="solid">
        <fgColor rgb="00EDF6F5"/>
      </patternFill>
    </fill>
    <fill>
      <patternFill patternType="solid">
        <fgColor rgb="00FBF3DC"/>
      </patternFill>
    </fill>
    <fill>
      <patternFill patternType="solid">
        <fgColor rgb="0014263F"/>
      </patternFill>
    </fill>
    <fill>
      <patternFill patternType="solid">
        <fgColor rgb="00C9A961"/>
      </patternFill>
    </fill>
    <fill>
      <patternFill patternType="solid">
        <fgColor rgb="00B3402F"/>
      </patternFill>
    </fill>
    <fill>
      <patternFill patternType="solid">
        <fgColor rgb="002F7D5F"/>
      </patternFill>
    </fill>
  </fills>
  <borders count="2">
    <border>
      <left/>
      <right/>
      <top/>
      <bottom/>
      <diagonal/>
    </border>
    <border>
      <left style="thin">
        <color rgb="00D8D3C7"/>
      </left>
      <right style="thin">
        <color rgb="00D8D3C7"/>
      </right>
      <top style="thin">
        <color rgb="00D8D3C7"/>
      </top>
      <bottom style="thin">
        <color rgb="00D8D3C7"/>
      </bottom>
    </border>
  </borders>
  <cellStyleXfs count="1">
    <xf numFmtId="0" fontId="0" fillId="0" borderId="0"/>
  </cellStyleXfs>
  <cellXfs count="9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/>
    </xf>
    <xf numFmtId="0" fontId="0" fillId="4" borderId="1" pivotButton="0" quotePrefix="0" xfId="0"/>
    <xf numFmtId="164" fontId="0" fillId="4" borderId="1" pivotButton="0" quotePrefix="0" xfId="0"/>
    <xf numFmtId="0" fontId="5" fillId="4" borderId="1" applyAlignment="1" pivotButton="0" quotePrefix="0" xfId="0">
      <alignment horizontal="center"/>
    </xf>
    <xf numFmtId="0" fontId="4" fillId="4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0" fontId="6" fillId="0" borderId="1" applyAlignment="1" pivotButton="0" quotePrefix="0" xfId="0">
      <alignment horizontal="center"/>
    </xf>
    <xf numFmtId="0" fontId="4" fillId="0" borderId="1" pivotButton="0" quotePrefix="0" xfId="0"/>
    <xf numFmtId="0" fontId="7" fillId="0" borderId="0" pivotButton="0" quotePrefix="0" xfId="0"/>
    <xf numFmtId="0" fontId="8" fillId="0" borderId="0" pivotButton="0" quotePrefix="0" xfId="0"/>
    <xf numFmtId="164" fontId="9" fillId="0" borderId="0" pivotButton="0" quotePrefix="0" xfId="0"/>
    <xf numFmtId="0" fontId="4" fillId="0" borderId="0" pivotButton="0" quotePrefix="0" xfId="0"/>
    <xf numFmtId="0" fontId="10" fillId="5" borderId="0" pivotButton="0" quotePrefix="0" xfId="0"/>
    <xf numFmtId="164" fontId="9" fillId="5" borderId="0" pivotButton="0" quotePrefix="0" xfId="0"/>
    <xf numFmtId="0" fontId="4" fillId="5" borderId="0" pivotButton="0" quotePrefix="0" xfId="0"/>
    <xf numFmtId="0" fontId="0" fillId="5" borderId="0" pivotButton="0" quotePrefix="0" xfId="0"/>
    <xf numFmtId="165" fontId="9" fillId="0" borderId="0" pivotButton="0" quotePrefix="0" xfId="0"/>
    <xf numFmtId="0" fontId="11" fillId="0" borderId="0" pivotButton="0" quotePrefix="0" xfId="0"/>
    <xf numFmtId="0" fontId="12" fillId="6" borderId="0" applyAlignment="1" pivotButton="0" quotePrefix="0" xfId="0">
      <alignment horizontal="left" vertical="center" indent="1"/>
    </xf>
    <xf numFmtId="0" fontId="8" fillId="0" borderId="1" applyAlignment="1" pivotButton="0" quotePrefix="0" xfId="0">
      <alignment indent="1"/>
    </xf>
    <xf numFmtId="166" fontId="13" fillId="0" borderId="1" pivotButton="0" quotePrefix="0" xfId="0"/>
    <xf numFmtId="0" fontId="4" fillId="0" borderId="1" applyAlignment="1" pivotButton="0" quotePrefix="0" xfId="0">
      <alignment vertical="center" wrapText="1"/>
    </xf>
    <xf numFmtId="2" fontId="13" fillId="0" borderId="1" pivotButton="0" quotePrefix="0" xfId="0"/>
    <xf numFmtId="3" fontId="13" fillId="0" borderId="1" pivotButton="0" quotePrefix="0" xfId="0"/>
    <xf numFmtId="164" fontId="13" fillId="0" borderId="1" pivotButton="0" quotePrefix="0" xfId="0"/>
    <xf numFmtId="0" fontId="10" fillId="5" borderId="1" applyAlignment="1" pivotButton="0" quotePrefix="0" xfId="0">
      <alignment indent="1"/>
    </xf>
    <xf numFmtId="164" fontId="9" fillId="5" borderId="1" pivotButton="0" quotePrefix="0" xfId="0"/>
    <xf numFmtId="0" fontId="0" fillId="5" borderId="1" pivotButton="0" quotePrefix="0" xfId="0"/>
    <xf numFmtId="0" fontId="4" fillId="5" borderId="1" applyAlignment="1" pivotButton="0" quotePrefix="0" xfId="0">
      <alignment vertical="center" wrapText="1"/>
    </xf>
    <xf numFmtId="0" fontId="10" fillId="4" borderId="1" applyAlignment="1" pivotButton="0" quotePrefix="0" xfId="0">
      <alignment indent="1"/>
    </xf>
    <xf numFmtId="164" fontId="9" fillId="4" borderId="1" pivotButton="0" quotePrefix="0" xfId="0"/>
    <xf numFmtId="0" fontId="4" fillId="4" borderId="1" applyAlignment="1" pivotButton="0" quotePrefix="0" xfId="0">
      <alignment vertical="center" wrapText="1"/>
    </xf>
    <xf numFmtId="0" fontId="10" fillId="0" borderId="1" applyAlignment="1" pivotButton="0" quotePrefix="0" xfId="0">
      <alignment indent="1"/>
    </xf>
    <xf numFmtId="164" fontId="9" fillId="0" borderId="1" pivotButton="0" quotePrefix="0" xfId="0"/>
    <xf numFmtId="165" fontId="13" fillId="0" borderId="1" pivotButton="0" quotePrefix="0" xfId="0"/>
    <xf numFmtId="10" fontId="13" fillId="0" borderId="1" pivotButton="0" quotePrefix="0" xfId="0"/>
    <xf numFmtId="0" fontId="12" fillId="7" borderId="0" applyAlignment="1" pivotButton="0" quotePrefix="0" xfId="0">
      <alignment horizontal="left" vertical="center" indent="1"/>
    </xf>
    <xf numFmtId="0" fontId="3" fillId="6" borderId="1" applyAlignment="1" pivotButton="0" quotePrefix="0" xfId="0">
      <alignment horizontal="center" vertical="center" wrapText="1"/>
    </xf>
    <xf numFmtId="0" fontId="8" fillId="0" borderId="1" pivotButton="0" quotePrefix="0" xfId="0"/>
    <xf numFmtId="165" fontId="0" fillId="0" borderId="1" pivotButton="0" quotePrefix="0" xfId="0"/>
    <xf numFmtId="0" fontId="14" fillId="2" borderId="0" pivotButton="0" quotePrefix="0" xfId="0"/>
    <xf numFmtId="164" fontId="14" fillId="2" borderId="0" pivotButton="0" quotePrefix="0" xfId="0"/>
    <xf numFmtId="0" fontId="0" fillId="2" borderId="0" pivotButton="0" quotePrefix="0" xfId="0"/>
    <xf numFmtId="0" fontId="10" fillId="3" borderId="1" pivotButton="0" quotePrefix="0" xfId="0"/>
    <xf numFmtId="164" fontId="9" fillId="3" borderId="1" pivotButton="0" quotePrefix="0" xfId="0"/>
    <xf numFmtId="0" fontId="0" fillId="3" borderId="1" pivotButton="0" quotePrefix="0" xfId="0"/>
    <xf numFmtId="0" fontId="4" fillId="3" borderId="1" pivotButton="0" quotePrefix="0" xfId="0"/>
    <xf numFmtId="0" fontId="12" fillId="8" borderId="0" applyAlignment="1" pivotButton="0" quotePrefix="0" xfId="0">
      <alignment horizontal="left" vertical="center" indent="1"/>
    </xf>
    <xf numFmtId="0" fontId="8" fillId="0" borderId="1" applyAlignment="1" pivotButton="0" quotePrefix="0" xfId="0">
      <alignment indent="2"/>
    </xf>
    <xf numFmtId="165" fontId="9" fillId="0" borderId="1" pivotButton="0" quotePrefix="0" xfId="0"/>
    <xf numFmtId="0" fontId="12" fillId="6" borderId="0" pivotButton="0" quotePrefix="0" xfId="0"/>
    <xf numFmtId="164" fontId="12" fillId="6" borderId="0" pivotButton="0" quotePrefix="0" xfId="0"/>
    <xf numFmtId="0" fontId="0" fillId="6" borderId="0" pivotButton="0" quotePrefix="0" xfId="0"/>
    <xf numFmtId="0" fontId="15" fillId="0" borderId="0" pivotButton="0" quotePrefix="0" xfId="0"/>
    <xf numFmtId="164" fontId="16" fillId="0" borderId="1" pivotButton="0" quotePrefix="0" xfId="0"/>
    <xf numFmtId="0" fontId="14" fillId="8" borderId="0" pivotButton="0" quotePrefix="0" xfId="0"/>
    <xf numFmtId="164" fontId="14" fillId="8" borderId="0" pivotButton="0" quotePrefix="0" xfId="0"/>
    <xf numFmtId="0" fontId="0" fillId="8" borderId="0" pivotButton="0" quotePrefix="0" xfId="0"/>
    <xf numFmtId="164" fontId="15" fillId="0" borderId="0" pivotButton="0" quotePrefix="0" xfId="0"/>
    <xf numFmtId="0" fontId="10" fillId="3" borderId="0" pivotButton="0" quotePrefix="0" xfId="0"/>
    <xf numFmtId="164" fontId="9" fillId="3" borderId="0" pivotButton="0" quotePrefix="0" xfId="0"/>
    <xf numFmtId="0" fontId="4" fillId="3" borderId="0" pivotButton="0" quotePrefix="0" xfId="0"/>
    <xf numFmtId="0" fontId="0" fillId="3" borderId="0" pivotButton="0" quotePrefix="0" xfId="0"/>
    <xf numFmtId="0" fontId="14" fillId="9" borderId="0" pivotButton="0" quotePrefix="0" xfId="0"/>
    <xf numFmtId="164" fontId="14" fillId="9" borderId="0" pivotButton="0" quotePrefix="0" xfId="0"/>
    <xf numFmtId="0" fontId="17" fillId="9" borderId="0" pivotButton="0" quotePrefix="0" xfId="0"/>
    <xf numFmtId="0" fontId="9" fillId="0" borderId="1" pivotButton="0" quotePrefix="0" xfId="0"/>
    <xf numFmtId="3" fontId="0" fillId="0" borderId="1" pivotButton="0" quotePrefix="0" xfId="0"/>
    <xf numFmtId="164" fontId="7" fillId="0" borderId="1" pivotButton="0" quotePrefix="0" xfId="0"/>
    <xf numFmtId="0" fontId="18" fillId="0" borderId="1" applyAlignment="1" pivotButton="0" quotePrefix="0" xfId="0">
      <alignment vertical="center" wrapText="1"/>
    </xf>
    <xf numFmtId="0" fontId="9" fillId="5" borderId="1" pivotButton="0" quotePrefix="0" xfId="0"/>
    <xf numFmtId="164" fontId="0" fillId="5" borderId="1" pivotButton="0" quotePrefix="0" xfId="0"/>
    <xf numFmtId="3" fontId="0" fillId="5" borderId="1" pivotButton="0" quotePrefix="0" xfId="0"/>
    <xf numFmtId="164" fontId="19" fillId="5" borderId="1" pivotButton="0" quotePrefix="0" xfId="0"/>
    <xf numFmtId="0" fontId="18" fillId="5" borderId="1" applyAlignment="1" pivotButton="0" quotePrefix="0" xfId="0">
      <alignment vertical="center" wrapText="1"/>
    </xf>
    <xf numFmtId="164" fontId="19" fillId="0" borderId="1" pivotButton="0" quotePrefix="0" xfId="0"/>
    <xf numFmtId="0" fontId="7" fillId="5" borderId="0" applyAlignment="1" pivotButton="0" quotePrefix="0" xfId="0">
      <alignment vertical="top" wrapText="1"/>
    </xf>
    <xf numFmtId="0" fontId="10" fillId="0" borderId="1" pivotButton="0" quotePrefix="0" xfId="0"/>
    <xf numFmtId="0" fontId="20" fillId="0" borderId="1" applyAlignment="1" pivotButton="0" quotePrefix="0" xfId="0">
      <alignment vertical="center" wrapText="1"/>
    </xf>
    <xf numFmtId="164" fontId="15" fillId="0" borderId="1" pivotButton="0" quotePrefix="0" xfId="0"/>
    <xf numFmtId="0" fontId="21" fillId="0" borderId="1" applyAlignment="1" pivotButton="0" quotePrefix="0" xfId="0">
      <alignment horizontal="center"/>
    </xf>
    <xf numFmtId="0" fontId="10" fillId="0" borderId="1" applyAlignment="1" pivotButton="0" quotePrefix="0" xfId="0">
      <alignment vertical="center" wrapText="1"/>
    </xf>
    <xf numFmtId="0" fontId="22" fillId="0" borderId="1" applyAlignment="1" pivotButton="0" quotePrefix="0" xfId="0">
      <alignment horizontal="center"/>
    </xf>
    <xf numFmtId="0" fontId="23" fillId="0" borderId="1" applyAlignment="1" pivotButton="0" quotePrefix="0" xfId="0">
      <alignment vertical="center" wrapText="1"/>
    </xf>
    <xf numFmtId="0" fontId="24" fillId="0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  <xf numFmtId="0" fontId="25" fillId="0" borderId="1" pivotButton="0" quotePrefix="0" xfId="0"/>
    <xf numFmtId="0" fontId="2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Relationships xmlns="http://schemas.openxmlformats.org/package/2006/relationships"><Relationship Type="http://schemas.openxmlformats.org/officeDocument/2006/relationships/hyperlink" Target="https://www.imovelweb.com.br/comerciais-galpao-deposito-barracao-venda-uberaba-mg.html" TargetMode="External" Id="rId1"/><Relationship Type="http://schemas.openxmlformats.org/officeDocument/2006/relationships/hyperlink" Target="https://www.vivareal.com.br/venda/minas-gerais/uberaba/galpao_comercial/" TargetMode="External" Id="rId2"/><Relationship Type="http://schemas.openxmlformats.org/officeDocument/2006/relationships/hyperlink" Target="https://www.chavesnamao.com.br/galpao-a-venda/mg-uberaba/" TargetMode="External" Id="rId3"/><Relationship Type="http://schemas.openxmlformats.org/officeDocument/2006/relationships/hyperlink" Target="https://www.chavesnamao.com.br/terrenos/mg-uberaba/parque-das-laranjeiras/" TargetMode="External" Id="rId4"/><Relationship Type="http://schemas.openxmlformats.org/officeDocument/2006/relationships/hyperlink" Target="https://www.chavesnamao.com.br/galpao-para-alugar/mg-uberaba/" TargetMode="External" Id="rId5"/><Relationship Type="http://schemas.openxmlformats.org/officeDocument/2006/relationships/hyperlink" Target="https://myside.com.br/guia-imoveis/cub-mg" TargetMode="External" Id="rId6"/><Relationship Type="http://schemas.openxmlformats.org/officeDocument/2006/relationships/hyperlink" Target="https://solucoesmagis.com/blog/preco-galpao-metalico-m2/" TargetMode="External" Id="rId7"/><Relationship Type="http://schemas.openxmlformats.org/officeDocument/2006/relationships/hyperlink" Target="https://www.cronoshare.com.br/quanto-custa/construir-galpao-industrial" TargetMode="External" Id="rId8"/><Relationship Type="http://schemas.openxmlformats.org/officeDocument/2006/relationships/hyperlink" Target="https://www.ruacep.com.br/mg/uberaba/parque-das-laranjeiras/38046395-avenida-marcia-helena-moreira-silva/" TargetMode="External" Id="rId9"/><Relationship Type="http://schemas.openxmlformats.org/officeDocument/2006/relationships/hyperlink" Target="https://iptu.uberaba.mg.gov.br/tributos/faq.php" TargetMode="External" Id="rId1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15" customWidth="1" min="3" max="3"/>
    <col width="13" customWidth="1" min="4" max="4"/>
    <col width="13" customWidth="1" min="5" max="5"/>
    <col width="15" customWidth="1" min="6" max="6"/>
    <col width="13" customWidth="1" min="7" max="7"/>
    <col width="16" customWidth="1" min="8" max="8"/>
    <col width="34" customWidth="1" min="9" max="9"/>
  </cols>
  <sheetData>
    <row r="1" ht="28" customHeight="1">
      <c r="A1" s="1" t="inlineStr">
        <is>
          <t>COMPARÁVEIS DE MERCADO · GALPÕES À VENDA EM UBERABA/MG</t>
        </is>
      </c>
    </row>
    <row r="2">
      <c r="A2" s="2" t="inlineStr">
        <is>
          <t>Coleta em 03/08/2026 · fontes: Imovelweb, VivaReal, Chaves na Mão · preços de OFERTA (pedido), não de transação</t>
        </is>
      </c>
    </row>
    <row r="4" ht="30" customHeight="1">
      <c r="A4" s="3" t="inlineStr">
        <is>
          <t>#</t>
        </is>
      </c>
      <c r="B4" s="3" t="inlineStr">
        <is>
          <t>Bairro</t>
        </is>
      </c>
      <c r="C4" s="3" t="inlineStr">
        <is>
          <t>Preço pedido</t>
        </is>
      </c>
      <c r="D4" s="3" t="inlineStr">
        <is>
          <t>Área constr. (m²)</t>
        </is>
      </c>
      <c r="E4" s="3" t="inlineStr">
        <is>
          <t>Área terreno (m²)</t>
        </is>
      </c>
      <c r="F4" s="3" t="inlineStr">
        <is>
          <t>R$/m² construído</t>
        </is>
      </c>
      <c r="G4" s="3" t="inlineStr">
        <is>
          <t>Na amostra?</t>
        </is>
      </c>
      <c r="H4" s="3" t="inlineStr">
        <is>
          <t>Peso</t>
        </is>
      </c>
      <c r="I4" s="3" t="inlineStr">
        <is>
          <t>Observação</t>
        </is>
      </c>
    </row>
    <row r="5">
      <c r="A5" s="4" t="inlineStr">
        <is>
          <t>C1</t>
        </is>
      </c>
      <c r="B5" s="5" t="inlineStr">
        <is>
          <t>Parque das Laranjeiras</t>
        </is>
      </c>
      <c r="C5" s="6" t="n">
        <v>1300000</v>
      </c>
      <c r="D5" s="5" t="n">
        <v>540</v>
      </c>
      <c r="E5" s="5" t="inlineStr">
        <is>
          <t>n/d</t>
        </is>
      </c>
      <c r="F5" s="6">
        <f>C5/D5</f>
        <v/>
      </c>
      <c r="G5" s="7" t="inlineStr">
        <is>
          <t>SIM</t>
        </is>
      </c>
      <c r="H5" s="4" t="inlineStr">
        <is>
          <t>ALTO</t>
        </is>
      </c>
      <c r="I5" s="8" t="inlineStr">
        <is>
          <t>Melhor comparável: mesmo bairro, área quase idêntica</t>
        </is>
      </c>
    </row>
    <row r="6">
      <c r="A6" s="9" t="inlineStr">
        <is>
          <t>C2</t>
        </is>
      </c>
      <c r="B6" s="10" t="inlineStr">
        <is>
          <t>Parque das Laranjeiras</t>
        </is>
      </c>
      <c r="C6" s="11" t="n">
        <v>1100000</v>
      </c>
      <c r="D6" s="10" t="n">
        <v>250</v>
      </c>
      <c r="E6" s="10" t="n">
        <v>350</v>
      </c>
      <c r="F6" s="11">
        <f>C6/D6</f>
        <v/>
      </c>
      <c r="G6" s="12" t="inlineStr">
        <is>
          <t>NÃO</t>
        </is>
      </c>
      <c r="H6" s="9" t="inlineStr">
        <is>
          <t>—</t>
        </is>
      </c>
      <c r="I6" s="13" t="inlineStr">
        <is>
          <t>Outlier alto (R$ 4.400/m²) — descartado por saneamento</t>
        </is>
      </c>
    </row>
    <row r="7">
      <c r="A7" s="4" t="inlineStr">
        <is>
          <t>C3</t>
        </is>
      </c>
      <c r="B7" s="5" t="inlineStr">
        <is>
          <t>Laranjeiras II</t>
        </is>
      </c>
      <c r="C7" s="6" t="n">
        <v>850000</v>
      </c>
      <c r="D7" s="5" t="n">
        <v>300</v>
      </c>
      <c r="E7" s="5" t="inlineStr">
        <is>
          <t>n/d</t>
        </is>
      </c>
      <c r="F7" s="6">
        <f>C7/D7</f>
        <v/>
      </c>
      <c r="G7" s="7" t="inlineStr">
        <is>
          <t>SIM</t>
        </is>
      </c>
      <c r="H7" s="4" t="inlineStr">
        <is>
          <t>ALTO</t>
        </is>
      </c>
      <c r="I7" s="8" t="inlineStr">
        <is>
          <t>Bairro contíguo, mesmo vetor</t>
        </is>
      </c>
    </row>
    <row r="8">
      <c r="A8" s="4" t="inlineStr">
        <is>
          <t>C4</t>
        </is>
      </c>
      <c r="B8" s="5" t="inlineStr">
        <is>
          <t>Parque das Laranjeiras</t>
        </is>
      </c>
      <c r="C8" s="6" t="n">
        <v>850000</v>
      </c>
      <c r="D8" s="5" t="n">
        <v>309</v>
      </c>
      <c r="E8" s="5" t="inlineStr">
        <is>
          <t>n/d</t>
        </is>
      </c>
      <c r="F8" s="6">
        <f>C8/D8</f>
        <v/>
      </c>
      <c r="G8" s="7" t="inlineStr">
        <is>
          <t>SIM</t>
        </is>
      </c>
      <c r="H8" s="4" t="inlineStr">
        <is>
          <t>ALTO</t>
        </is>
      </c>
      <c r="I8" s="8" t="inlineStr">
        <is>
          <t>Mesmo bairro</t>
        </is>
      </c>
    </row>
    <row r="9">
      <c r="A9" s="4" t="inlineStr">
        <is>
          <t>C5</t>
        </is>
      </c>
      <c r="B9" s="5" t="inlineStr">
        <is>
          <t>Olinda</t>
        </is>
      </c>
      <c r="C9" s="6" t="n">
        <v>1280000</v>
      </c>
      <c r="D9" s="5" t="n">
        <v>500</v>
      </c>
      <c r="E9" s="5" t="n">
        <v>720</v>
      </c>
      <c r="F9" s="6">
        <f>C9/D9</f>
        <v/>
      </c>
      <c r="G9" s="7" t="inlineStr">
        <is>
          <t>SIM</t>
        </is>
      </c>
      <c r="H9" s="4" t="inlineStr">
        <is>
          <t>MÉDIO</t>
        </is>
      </c>
      <c r="I9" s="8" t="inlineStr">
        <is>
          <t>Área construída idêntica (500 m²)</t>
        </is>
      </c>
    </row>
    <row r="10">
      <c r="A10" s="4" t="inlineStr">
        <is>
          <t>C6</t>
        </is>
      </c>
      <c r="B10" s="5" t="inlineStr">
        <is>
          <t>Parque das Américas</t>
        </is>
      </c>
      <c r="C10" s="6" t="n">
        <v>1100000</v>
      </c>
      <c r="D10" s="5" t="n">
        <v>336</v>
      </c>
      <c r="E10" s="5" t="n">
        <v>420</v>
      </c>
      <c r="F10" s="6">
        <f>C10/D10</f>
        <v/>
      </c>
      <c r="G10" s="7" t="inlineStr">
        <is>
          <t>SIM</t>
        </is>
      </c>
      <c r="H10" s="4" t="inlineStr">
        <is>
          <t>MÉDIO</t>
        </is>
      </c>
      <c r="I10" s="8" t="inlineStr">
        <is>
          <t>Bairro de perfil equivalente</t>
        </is>
      </c>
    </row>
    <row r="11">
      <c r="A11" s="4" t="inlineStr">
        <is>
          <t>C7</t>
        </is>
      </c>
      <c r="B11" s="5" t="inlineStr">
        <is>
          <t>Parque das Américas</t>
        </is>
      </c>
      <c r="C11" s="6" t="n">
        <v>630000</v>
      </c>
      <c r="D11" s="5" t="n">
        <v>291</v>
      </c>
      <c r="E11" s="5" t="n">
        <v>300</v>
      </c>
      <c r="F11" s="6">
        <f>C11/D11</f>
        <v/>
      </c>
      <c r="G11" s="7" t="inlineStr">
        <is>
          <t>SIM</t>
        </is>
      </c>
      <c r="H11" s="4" t="inlineStr">
        <is>
          <t>MÉDIO</t>
        </is>
      </c>
      <c r="I11" s="8" t="inlineStr">
        <is>
          <t>Piso da faixa no bairro</t>
        </is>
      </c>
    </row>
    <row r="12">
      <c r="A12" s="4" t="inlineStr">
        <is>
          <t>C8</t>
        </is>
      </c>
      <c r="B12" s="5" t="inlineStr">
        <is>
          <t>Parque das Gameleiras I</t>
        </is>
      </c>
      <c r="C12" s="6" t="n">
        <v>780000</v>
      </c>
      <c r="D12" s="5" t="n">
        <v>307</v>
      </c>
      <c r="E12" s="5" t="n">
        <v>312</v>
      </c>
      <c r="F12" s="6">
        <f>C12/D12</f>
        <v/>
      </c>
      <c r="G12" s="7" t="inlineStr">
        <is>
          <t>SIM</t>
        </is>
      </c>
      <c r="H12" s="4" t="inlineStr">
        <is>
          <t>MÉDIO</t>
        </is>
      </c>
      <c r="I12" s="8" t="inlineStr">
        <is>
          <t>Relação terreno/construção similar</t>
        </is>
      </c>
    </row>
    <row r="13">
      <c r="A13" s="4" t="inlineStr">
        <is>
          <t>C13</t>
        </is>
      </c>
      <c r="B13" s="5" t="inlineStr">
        <is>
          <t>Jardim Maracanã</t>
        </is>
      </c>
      <c r="C13" s="6" t="n">
        <v>1600000</v>
      </c>
      <c r="D13" s="5" t="n">
        <v>722</v>
      </c>
      <c r="E13" s="5" t="n">
        <v>1805</v>
      </c>
      <c r="F13" s="6">
        <f>C13/D13</f>
        <v/>
      </c>
      <c r="G13" s="7" t="inlineStr">
        <is>
          <t>SIM</t>
        </is>
      </c>
      <c r="H13" s="4" t="inlineStr">
        <is>
          <t>BAIXO</t>
        </is>
      </c>
      <c r="I13" s="8" t="inlineStr">
        <is>
          <t>Área maior — puxa R$/m² pra baixo</t>
        </is>
      </c>
    </row>
    <row r="14">
      <c r="A14" s="9" t="inlineStr">
        <is>
          <t>C9</t>
        </is>
      </c>
      <c r="B14" s="10" t="inlineStr">
        <is>
          <t>Recanto do Sol</t>
        </is>
      </c>
      <c r="C14" s="11" t="n">
        <v>500000</v>
      </c>
      <c r="D14" s="10" t="n">
        <v>358</v>
      </c>
      <c r="E14" s="10" t="n">
        <v>450</v>
      </c>
      <c r="F14" s="11">
        <f>C14/D14</f>
        <v/>
      </c>
      <c r="G14" s="12" t="inlineStr">
        <is>
          <t>NÃO</t>
        </is>
      </c>
      <c r="H14" s="9" t="inlineStr">
        <is>
          <t>—</t>
        </is>
      </c>
      <c r="I14" s="13" t="inlineStr">
        <is>
          <t>Padrão construtivo inferior</t>
        </is>
      </c>
    </row>
    <row r="15">
      <c r="A15" s="9" t="inlineStr">
        <is>
          <t>C10</t>
        </is>
      </c>
      <c r="B15" s="10" t="inlineStr">
        <is>
          <t>Grande Horizonte</t>
        </is>
      </c>
      <c r="C15" s="11" t="n">
        <v>420000</v>
      </c>
      <c r="D15" s="10" t="n">
        <v>346</v>
      </c>
      <c r="E15" s="10" t="n">
        <v>420</v>
      </c>
      <c r="F15" s="11">
        <f>C15/D15</f>
        <v/>
      </c>
      <c r="G15" s="12" t="inlineStr">
        <is>
          <t>NÃO</t>
        </is>
      </c>
      <c r="H15" s="9" t="inlineStr">
        <is>
          <t>—</t>
        </is>
      </c>
      <c r="I15" s="13" t="inlineStr">
        <is>
          <t>Outlier baixo — bairro periférico</t>
        </is>
      </c>
    </row>
    <row r="16">
      <c r="A16" s="9" t="inlineStr">
        <is>
          <t>C11</t>
        </is>
      </c>
      <c r="B16" s="10" t="inlineStr">
        <is>
          <t>Conj. Manoel Mendes</t>
        </is>
      </c>
      <c r="C16" s="11" t="n">
        <v>1800000</v>
      </c>
      <c r="D16" s="10" t="n">
        <v>460</v>
      </c>
      <c r="E16" s="10" t="inlineStr">
        <is>
          <t>n/d</t>
        </is>
      </c>
      <c r="F16" s="11">
        <f>C16/D16</f>
        <v/>
      </c>
      <c r="G16" s="12" t="inlineStr">
        <is>
          <t>NÃO</t>
        </is>
      </c>
      <c r="H16" s="9" t="inlineStr">
        <is>
          <t>—</t>
        </is>
      </c>
      <c r="I16" s="13" t="inlineStr">
        <is>
          <t>Outlier alto — imóvel com acabamento superior</t>
        </is>
      </c>
    </row>
    <row r="17">
      <c r="A17" s="9" t="inlineStr">
        <is>
          <t>C12</t>
        </is>
      </c>
      <c r="B17" s="10" t="inlineStr">
        <is>
          <t>São Benedito</t>
        </is>
      </c>
      <c r="C17" s="11" t="n">
        <v>1250000</v>
      </c>
      <c r="D17" s="10" t="n">
        <v>381</v>
      </c>
      <c r="E17" s="10" t="inlineStr">
        <is>
          <t>n/d</t>
        </is>
      </c>
      <c r="F17" s="11">
        <f>C17/D17</f>
        <v/>
      </c>
      <c r="G17" s="12" t="inlineStr">
        <is>
          <t>NÃO</t>
        </is>
      </c>
      <c r="H17" s="9" t="inlineStr">
        <is>
          <t>—</t>
        </is>
      </c>
      <c r="I17" s="13" t="inlineStr">
        <is>
          <t>Região central valorizada</t>
        </is>
      </c>
    </row>
    <row r="18">
      <c r="A18" s="9" t="inlineStr">
        <is>
          <t>C14</t>
        </is>
      </c>
      <c r="B18" s="10" t="inlineStr">
        <is>
          <t>Jardim Maracanã</t>
        </is>
      </c>
      <c r="C18" s="11" t="n">
        <v>890000</v>
      </c>
      <c r="D18" s="10" t="n">
        <v>723</v>
      </c>
      <c r="E18" s="10" t="inlineStr">
        <is>
          <t>n/d</t>
        </is>
      </c>
      <c r="F18" s="11">
        <f>C18/D18</f>
        <v/>
      </c>
      <c r="G18" s="12" t="inlineStr">
        <is>
          <t>NÃO</t>
        </is>
      </c>
      <c r="H18" s="9" t="inlineStr">
        <is>
          <t>—</t>
        </is>
      </c>
      <c r="I18" s="13" t="inlineStr">
        <is>
          <t>Outlier baixo</t>
        </is>
      </c>
    </row>
    <row r="19">
      <c r="A19" s="9" t="inlineStr">
        <is>
          <t>C15</t>
        </is>
      </c>
      <c r="B19" s="10" t="inlineStr">
        <is>
          <t>Santa Maria</t>
        </is>
      </c>
      <c r="C19" s="11" t="n">
        <v>1575000</v>
      </c>
      <c r="D19" s="10" t="n">
        <v>420</v>
      </c>
      <c r="E19" s="10" t="inlineStr">
        <is>
          <t>n/d</t>
        </is>
      </c>
      <c r="F19" s="11">
        <f>C19/D19</f>
        <v/>
      </c>
      <c r="G19" s="12" t="inlineStr">
        <is>
          <t>NÃO</t>
        </is>
      </c>
      <c r="H19" s="9" t="inlineStr">
        <is>
          <t>—</t>
        </is>
      </c>
      <c r="I19" s="13" t="inlineStr">
        <is>
          <t>Padrão superior</t>
        </is>
      </c>
    </row>
    <row r="20">
      <c r="A20" s="9" t="inlineStr">
        <is>
          <t>C16</t>
        </is>
      </c>
      <c r="B20" s="10" t="inlineStr">
        <is>
          <t>Jardim Califórnia</t>
        </is>
      </c>
      <c r="C20" s="11" t="n">
        <v>750000</v>
      </c>
      <c r="D20" s="10" t="n">
        <v>240</v>
      </c>
      <c r="E20" s="10" t="inlineStr">
        <is>
          <t>n/d</t>
        </is>
      </c>
      <c r="F20" s="11">
        <f>C20/D20</f>
        <v/>
      </c>
      <c r="G20" s="12" t="inlineStr">
        <is>
          <t>NÃO</t>
        </is>
      </c>
      <c r="H20" s="9" t="inlineStr">
        <is>
          <t>—</t>
        </is>
      </c>
      <c r="I20" s="13" t="inlineStr">
        <is>
          <t>Área pequena</t>
        </is>
      </c>
    </row>
    <row r="21">
      <c r="A21" s="9" t="inlineStr">
        <is>
          <t>C17</t>
        </is>
      </c>
      <c r="B21" s="10" t="inlineStr">
        <is>
          <t>Recreio dos Bandeirantes</t>
        </is>
      </c>
      <c r="C21" s="11" t="n">
        <v>600000</v>
      </c>
      <c r="D21" s="10" t="n">
        <v>190</v>
      </c>
      <c r="E21" s="10" t="n">
        <v>190</v>
      </c>
      <c r="F21" s="11">
        <f>C21/D21</f>
        <v/>
      </c>
      <c r="G21" s="12" t="inlineStr">
        <is>
          <t>NÃO</t>
        </is>
      </c>
      <c r="H21" s="9" t="inlineStr">
        <is>
          <t>—</t>
        </is>
      </c>
      <c r="I21" s="13" t="inlineStr">
        <is>
          <t>Área pequena</t>
        </is>
      </c>
    </row>
    <row r="22">
      <c r="A22" s="9" t="inlineStr">
        <is>
          <t>C18</t>
        </is>
      </c>
      <c r="B22" s="10" t="inlineStr">
        <is>
          <t>Dom Eduardo</t>
        </is>
      </c>
      <c r="C22" s="11" t="n">
        <v>290000</v>
      </c>
      <c r="D22" s="10" t="n">
        <v>240</v>
      </c>
      <c r="E22" s="10" t="n">
        <v>250</v>
      </c>
      <c r="F22" s="11">
        <f>C22/D22</f>
        <v/>
      </c>
      <c r="G22" s="12" t="inlineStr">
        <is>
          <t>NÃO</t>
        </is>
      </c>
      <c r="H22" s="9" t="inlineStr">
        <is>
          <t>—</t>
        </is>
      </c>
      <c r="I22" s="13" t="inlineStr">
        <is>
          <t>Padrão inferior</t>
        </is>
      </c>
    </row>
    <row r="23">
      <c r="A23" s="9" t="inlineStr">
        <is>
          <t>C19</t>
        </is>
      </c>
      <c r="B23" s="10" t="inlineStr">
        <is>
          <t>Conj. Chica Ferreira</t>
        </is>
      </c>
      <c r="C23" s="11" t="n">
        <v>350000</v>
      </c>
      <c r="D23" s="10" t="n">
        <v>248</v>
      </c>
      <c r="E23" s="10" t="n">
        <v>250</v>
      </c>
      <c r="F23" s="11">
        <f>C23/D23</f>
        <v/>
      </c>
      <c r="G23" s="12" t="inlineStr">
        <is>
          <t>NÃO</t>
        </is>
      </c>
      <c r="H23" s="9" t="inlineStr">
        <is>
          <t>—</t>
        </is>
      </c>
      <c r="I23" s="13" t="inlineStr">
        <is>
          <t>Padrão inferior</t>
        </is>
      </c>
    </row>
    <row r="24">
      <c r="A24" s="9" t="inlineStr">
        <is>
          <t>C20</t>
        </is>
      </c>
      <c r="B24" s="10" t="inlineStr">
        <is>
          <t>Jardim Libânio</t>
        </is>
      </c>
      <c r="C24" s="11" t="n">
        <v>350000</v>
      </c>
      <c r="D24" s="10" t="n">
        <v>136</v>
      </c>
      <c r="E24" s="10" t="n">
        <v>250</v>
      </c>
      <c r="F24" s="11">
        <f>C24/D24</f>
        <v/>
      </c>
      <c r="G24" s="12" t="inlineStr">
        <is>
          <t>NÃO</t>
        </is>
      </c>
      <c r="H24" s="9" t="inlineStr">
        <is>
          <t>—</t>
        </is>
      </c>
      <c r="I24" s="13" t="inlineStr">
        <is>
          <t>Área muito pequena</t>
        </is>
      </c>
    </row>
    <row r="25">
      <c r="A25" s="9" t="inlineStr">
        <is>
          <t>C21</t>
        </is>
      </c>
      <c r="B25" s="10" t="inlineStr">
        <is>
          <t>Valim de Melo</t>
        </is>
      </c>
      <c r="C25" s="11" t="n">
        <v>875000</v>
      </c>
      <c r="D25" s="10" t="n">
        <v>250</v>
      </c>
      <c r="E25" s="10" t="inlineStr">
        <is>
          <t>n/d</t>
        </is>
      </c>
      <c r="F25" s="11">
        <f>C25/D25</f>
        <v/>
      </c>
      <c r="G25" s="12" t="inlineStr">
        <is>
          <t>NÃO</t>
        </is>
      </c>
      <c r="H25" s="9" t="inlineStr">
        <is>
          <t>—</t>
        </is>
      </c>
      <c r="I25" s="13" t="inlineStr">
        <is>
          <t>Área pequena</t>
        </is>
      </c>
    </row>
    <row r="26">
      <c r="A26" s="9" t="inlineStr">
        <is>
          <t>C22</t>
        </is>
      </c>
      <c r="B26" s="10" t="inlineStr">
        <is>
          <t>Boa Vista</t>
        </is>
      </c>
      <c r="C26" s="11" t="n">
        <v>170000</v>
      </c>
      <c r="D26" s="10" t="n">
        <v>140</v>
      </c>
      <c r="E26" s="10" t="n">
        <v>170</v>
      </c>
      <c r="F26" s="11">
        <f>C26/D26</f>
        <v/>
      </c>
      <c r="G26" s="12" t="inlineStr">
        <is>
          <t>NÃO</t>
        </is>
      </c>
      <c r="H26" s="9" t="inlineStr">
        <is>
          <t>—</t>
        </is>
      </c>
      <c r="I26" s="13" t="inlineStr">
        <is>
          <t>Área muito pequena</t>
        </is>
      </c>
    </row>
    <row r="27">
      <c r="A27" s="9" t="inlineStr">
        <is>
          <t>C23</t>
        </is>
      </c>
      <c r="B27" s="10" t="inlineStr">
        <is>
          <t>Bom Retiro</t>
        </is>
      </c>
      <c r="C27" s="11" t="n">
        <v>1200000</v>
      </c>
      <c r="D27" s="10" t="n">
        <v>260</v>
      </c>
      <c r="E27" s="10" t="inlineStr">
        <is>
          <t>n/d</t>
        </is>
      </c>
      <c r="F27" s="11">
        <f>C27/D27</f>
        <v/>
      </c>
      <c r="G27" s="12" t="inlineStr">
        <is>
          <t>NÃO</t>
        </is>
      </c>
      <c r="H27" s="9" t="inlineStr">
        <is>
          <t>—</t>
        </is>
      </c>
      <c r="I27" s="13" t="inlineStr">
        <is>
          <t>Outlier alto</t>
        </is>
      </c>
    </row>
    <row r="28">
      <c r="A28" s="9" t="inlineStr">
        <is>
          <t>C24</t>
        </is>
      </c>
      <c r="B28" s="10" t="inlineStr">
        <is>
          <t>Parque das Gameleiras</t>
        </is>
      </c>
      <c r="C28" s="11" t="n">
        <v>750000</v>
      </c>
      <c r="D28" s="10" t="n">
        <v>230</v>
      </c>
      <c r="E28" s="10" t="inlineStr">
        <is>
          <t>n/d</t>
        </is>
      </c>
      <c r="F28" s="11">
        <f>C28/D28</f>
        <v/>
      </c>
      <c r="G28" s="12" t="inlineStr">
        <is>
          <t>NÃO</t>
        </is>
      </c>
      <c r="H28" s="9" t="inlineStr">
        <is>
          <t>—</t>
        </is>
      </c>
      <c r="I28" s="13" t="inlineStr">
        <is>
          <t>Área pequena</t>
        </is>
      </c>
    </row>
    <row r="29">
      <c r="A29" s="9" t="inlineStr">
        <is>
          <t>C25</t>
        </is>
      </c>
      <c r="B29" s="10" t="inlineStr">
        <is>
          <t>Dom Eduardo II</t>
        </is>
      </c>
      <c r="C29" s="11" t="n">
        <v>314000</v>
      </c>
      <c r="D29" s="10" t="n">
        <v>240</v>
      </c>
      <c r="E29" s="10" t="inlineStr">
        <is>
          <t>n/d</t>
        </is>
      </c>
      <c r="F29" s="11">
        <f>C29/D29</f>
        <v/>
      </c>
      <c r="G29" s="12" t="inlineStr">
        <is>
          <t>NÃO</t>
        </is>
      </c>
      <c r="H29" s="9" t="inlineStr">
        <is>
          <t>—</t>
        </is>
      </c>
      <c r="I29" s="13" t="inlineStr">
        <is>
          <t>Padrão inferior</t>
        </is>
      </c>
    </row>
    <row r="30">
      <c r="A30" s="9" t="inlineStr">
        <is>
          <t>C26</t>
        </is>
      </c>
      <c r="B30" s="10" t="inlineStr">
        <is>
          <t>São Benedito</t>
        </is>
      </c>
      <c r="C30" s="11" t="n">
        <v>1575000</v>
      </c>
      <c r="D30" s="10" t="n">
        <v>313</v>
      </c>
      <c r="E30" s="10" t="inlineStr">
        <is>
          <t>n/d</t>
        </is>
      </c>
      <c r="F30" s="11">
        <f>C30/D30</f>
        <v/>
      </c>
      <c r="G30" s="12" t="inlineStr">
        <is>
          <t>NÃO</t>
        </is>
      </c>
      <c r="H30" s="9" t="inlineStr">
        <is>
          <t>—</t>
        </is>
      </c>
      <c r="I30" s="13" t="inlineStr">
        <is>
          <t>Outlier alto</t>
        </is>
      </c>
    </row>
    <row r="31">
      <c r="A31" s="9" t="inlineStr">
        <is>
          <t>C27</t>
        </is>
      </c>
      <c r="B31" s="10" t="inlineStr">
        <is>
          <t>Vila São Vicente</t>
        </is>
      </c>
      <c r="C31" s="11" t="n">
        <v>2100000</v>
      </c>
      <c r="D31" s="10" t="n">
        <v>400</v>
      </c>
      <c r="E31" s="10" t="inlineStr">
        <is>
          <t>n/d</t>
        </is>
      </c>
      <c r="F31" s="11">
        <f>C31/D31</f>
        <v/>
      </c>
      <c r="G31" s="12" t="inlineStr">
        <is>
          <t>NÃO</t>
        </is>
      </c>
      <c r="H31" s="9" t="inlineStr">
        <is>
          <t>—</t>
        </is>
      </c>
      <c r="I31" s="13" t="inlineStr">
        <is>
          <t>Outlier alto — ponto comercial</t>
        </is>
      </c>
    </row>
    <row r="32">
      <c r="A32" s="9" t="inlineStr">
        <is>
          <t>C28</t>
        </is>
      </c>
      <c r="B32" s="10" t="inlineStr">
        <is>
          <t>Jardim Induberaba</t>
        </is>
      </c>
      <c r="C32" s="11" t="n">
        <v>2000000</v>
      </c>
      <c r="D32" s="10" t="n">
        <v>418</v>
      </c>
      <c r="E32" s="10" t="inlineStr">
        <is>
          <t>n/d</t>
        </is>
      </c>
      <c r="F32" s="11">
        <f>C32/D32</f>
        <v/>
      </c>
      <c r="G32" s="12" t="inlineStr">
        <is>
          <t>NÃO</t>
        </is>
      </c>
      <c r="H32" s="9" t="inlineStr">
        <is>
          <t>—</t>
        </is>
      </c>
      <c r="I32" s="13" t="inlineStr">
        <is>
          <t>Outlier alto</t>
        </is>
      </c>
    </row>
    <row r="33">
      <c r="A33" s="9" t="inlineStr">
        <is>
          <t>C29</t>
        </is>
      </c>
      <c r="B33" s="10" t="inlineStr">
        <is>
          <t>Jardim Maracanã</t>
        </is>
      </c>
      <c r="C33" s="11" t="n">
        <v>6000000</v>
      </c>
      <c r="D33" s="10" t="n">
        <v>4500</v>
      </c>
      <c r="E33" s="10" t="n">
        <v>2300</v>
      </c>
      <c r="F33" s="11">
        <f>C33/D33</f>
        <v/>
      </c>
      <c r="G33" s="12" t="inlineStr">
        <is>
          <t>NÃO</t>
        </is>
      </c>
      <c r="H33" s="9" t="inlineStr">
        <is>
          <t>—</t>
        </is>
      </c>
      <c r="I33" s="13" t="inlineStr">
        <is>
          <t>Escala logística — mercado distinto</t>
        </is>
      </c>
    </row>
    <row r="35">
      <c r="B35" s="14" t="inlineStr">
        <is>
          <t>ESTATÍSTICA DA AMOSTRA SANEADA (8 elementos)</t>
        </is>
      </c>
    </row>
    <row r="36">
      <c r="B36" s="15" t="inlineStr">
        <is>
          <t>Média aritmética</t>
        </is>
      </c>
      <c r="C36" s="16">
        <f>AVERAGE(F5,F7,F8,F9,F10,F11,F12,F13)</f>
        <v/>
      </c>
      <c r="D36" s="17" t="inlineStr">
        <is>
          <t>Tendência central</t>
        </is>
      </c>
    </row>
    <row r="37">
      <c r="B37" s="18" t="inlineStr">
        <is>
          <t>Mediana (adotada)</t>
        </is>
      </c>
      <c r="C37" s="19">
        <f>MEDIAN(F5,F7,F8,F9,F10,F11,F12,F13)</f>
        <v/>
      </c>
      <c r="D37" s="20" t="inlineStr">
        <is>
          <t>Menos sensível a extremos — valor unitário adotado</t>
        </is>
      </c>
      <c r="E37" s="21" t="n"/>
      <c r="F37" s="21" t="n"/>
      <c r="G37" s="21" t="n"/>
      <c r="H37" s="21" t="n"/>
      <c r="I37" s="21" t="n"/>
    </row>
    <row r="38">
      <c r="B38" s="15" t="inlineStr">
        <is>
          <t>Desvio-padrão</t>
        </is>
      </c>
      <c r="C38" s="16">
        <f>STDEV(F5,F7,F8,F9,F10,F11,F12,F13)</f>
        <v/>
      </c>
      <c r="D38" s="17" t="inlineStr">
        <is>
          <t>Dispersão da amostra</t>
        </is>
      </c>
    </row>
    <row r="39">
      <c r="B39" s="15" t="inlineStr">
        <is>
          <t>Coef. de variação</t>
        </is>
      </c>
      <c r="C39" s="22">
        <f>STDEV(F5,F7,F8,F9,F10,F11,F12,F13)/AVERAGE(F5,F7,F8,F9,F10,F11,F12,F13)</f>
        <v/>
      </c>
      <c r="D39" s="17" t="inlineStr">
        <is>
          <t>&lt; 30% = amostra homogênea (NBR 14653)</t>
        </is>
      </c>
    </row>
    <row r="40">
      <c r="B40" s="15" t="inlineStr">
        <is>
          <t>Mínimo</t>
        </is>
      </c>
      <c r="C40" s="16">
        <f>MIN(F5,F7,F8,F9,F10,F11,F12,F13)</f>
        <v/>
      </c>
      <c r="D40" s="17" t="inlineStr"/>
    </row>
    <row r="41">
      <c r="B41" s="15" t="inlineStr">
        <is>
          <t>Máximo</t>
        </is>
      </c>
      <c r="C41" s="16">
        <f>MAX(F5,F7,F8,F9,F10,F11,F12,F13)</f>
        <v/>
      </c>
      <c r="D41" s="17" t="inlineStr"/>
    </row>
    <row r="43">
      <c r="B43" s="23" t="inlineStr">
        <is>
          <t>⚠ Preços de OFERTA. Para chegar ao nível de TRANSAÇÃO aplica-se fator de comercialização de 0,90 (desconto médio de negociação de 10% praticado no interior de MG).</t>
        </is>
      </c>
    </row>
  </sheetData>
  <mergeCells count="9">
    <mergeCell ref="A2:I2"/>
    <mergeCell ref="D38:I38"/>
    <mergeCell ref="D37:I37"/>
    <mergeCell ref="D40:I40"/>
    <mergeCell ref="D41:I41"/>
    <mergeCell ref="A1:I1"/>
    <mergeCell ref="D36:I36"/>
    <mergeCell ref="D39:I39"/>
    <mergeCell ref="B43:I4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" customWidth="1" min="1" max="1"/>
    <col width="46" customWidth="1" min="2" max="2"/>
    <col width="18" customWidth="1" min="3" max="3"/>
    <col width="18" customWidth="1" min="4" max="4"/>
    <col width="18" customWidth="1" min="5" max="5"/>
    <col width="44" customWidth="1" min="6" max="6"/>
  </cols>
  <sheetData>
    <row r="1" ht="28" customHeight="1">
      <c r="A1" s="1" t="inlineStr">
        <is>
          <t>AVALIAÇÃO · TRÊS MÉTODOS INDEPENDENTES</t>
        </is>
      </c>
    </row>
    <row r="2">
      <c r="A2" s="2" t="inlineStr">
        <is>
          <t>Galpão · Rua Clara Alves de Mello, 380 · esq. Av. Márcia Helena Moreira Silva · Pq. das Laranjeiras · Uberaba/MG</t>
        </is>
      </c>
    </row>
    <row r="4" ht="24" customHeight="1">
      <c r="A4" t="inlineStr"/>
      <c r="B4" s="24" t="inlineStr">
        <is>
          <t>MÉTODO 1 · COMPARATIVO DIRETO DE DADOS DE MERCADO   (peso 50%)</t>
        </is>
      </c>
    </row>
    <row r="5">
      <c r="B5" s="25" t="inlineStr">
        <is>
          <t>Valor unitário de oferta (mediana da amostra)</t>
        </is>
      </c>
      <c r="C5" s="26">
        <f>'1. Comparaveis'!C37</f>
        <v/>
      </c>
      <c r="D5" s="10" t="n"/>
      <c r="E5" s="10" t="n"/>
      <c r="F5" s="27" t="inlineStr">
        <is>
          <t>Mediana dos 9 comparáveis saneados</t>
        </is>
      </c>
    </row>
    <row r="6">
      <c r="B6" s="25" t="inlineStr">
        <is>
          <t>Fator de comercialização (oferta → transação)</t>
        </is>
      </c>
      <c r="C6" s="28" t="n">
        <v>0.9</v>
      </c>
      <c r="D6" s="10" t="n"/>
      <c r="E6" s="10" t="n"/>
      <c r="F6" s="27" t="inlineStr">
        <is>
          <t>Desconto médio de negociação praticado</t>
        </is>
      </c>
    </row>
    <row r="7">
      <c r="B7" s="25" t="inlineStr">
        <is>
          <t>Valor unitário transacional</t>
        </is>
      </c>
      <c r="C7" s="26">
        <f>C5*C6</f>
        <v/>
      </c>
      <c r="D7" s="10" t="n"/>
      <c r="E7" s="10" t="n"/>
      <c r="F7" s="27" t="inlineStr"/>
    </row>
    <row r="8">
      <c r="B8" s="25" t="inlineStr">
        <is>
          <t>Área construída (m²)</t>
        </is>
      </c>
      <c r="C8" s="29" t="n">
        <v>500</v>
      </c>
      <c r="D8" s="10" t="n"/>
      <c r="E8" s="10" t="n"/>
      <c r="F8" s="27" t="inlineStr">
        <is>
          <t>Informada pelo cliente</t>
        </is>
      </c>
    </row>
    <row r="9">
      <c r="B9" s="25" t="inlineStr">
        <is>
          <t>Subtotal</t>
        </is>
      </c>
      <c r="C9" s="30">
        <f>C8*C7</f>
        <v/>
      </c>
      <c r="D9" s="10" t="n"/>
      <c r="E9" s="10" t="n"/>
      <c r="F9" s="27" t="inlineStr"/>
    </row>
    <row r="10">
      <c r="B10" s="25" t="inlineStr">
        <is>
          <t>Fator esquina + testada para avenida</t>
        </is>
      </c>
      <c r="C10" s="28" t="n">
        <v>1.05</v>
      </c>
      <c r="D10" s="10" t="n"/>
      <c r="E10" s="10" t="n"/>
      <c r="F10" s="27" t="inlineStr">
        <is>
          <t>CEP 38046-395 corresponde à Av. Márcia Helena Moreira Silva: o imóvel faz esquina com avenida</t>
        </is>
      </c>
    </row>
    <row r="11">
      <c r="B11" s="31" t="inlineStr">
        <is>
          <t>(A) VALOR DO IMÓVEL PRONTO E REGULARIZADO</t>
        </is>
      </c>
      <c r="C11" s="32">
        <f>ROUND(C9*C10,-4)</f>
        <v/>
      </c>
      <c r="D11" s="33" t="n"/>
      <c r="E11" s="33" t="n"/>
      <c r="F11" s="34" t="inlineStr">
        <is>
          <t>Cenário hipotético: obra concluída + averbada</t>
        </is>
      </c>
    </row>
    <row r="12">
      <c r="B12" s="25" t="inlineStr">
        <is>
          <t>(−) Custo para concluir o acabamento</t>
        </is>
      </c>
      <c r="C12" s="30" t="n">
        <v>-300000</v>
      </c>
      <c r="D12" s="10" t="n"/>
      <c r="E12" s="10" t="n"/>
      <c r="F12" s="27" t="inlineStr">
        <is>
          <t>Ver aba 3 — detalhamento item a item</t>
        </is>
      </c>
    </row>
    <row r="13">
      <c r="B13" s="25" t="inlineStr">
        <is>
          <t>(−) Custo de regularização/averbação</t>
        </is>
      </c>
      <c r="C13" s="30" t="n">
        <v>-50000</v>
      </c>
      <c r="D13" s="10" t="n"/>
      <c r="E13" s="10" t="n"/>
      <c r="F13" s="27" t="inlineStr">
        <is>
          <t>Ver aba 3 — projeto as-built, INSS/CNO, cartório</t>
        </is>
      </c>
    </row>
    <row r="14">
      <c r="B14" s="25" t="inlineStr">
        <is>
          <t>(−) Margem de risco e lucro do comprador (15%)</t>
        </is>
      </c>
      <c r="C14" s="30">
        <f>-ROUND(C11*0.15,-3)</f>
        <v/>
      </c>
      <c r="D14" s="10" t="n"/>
      <c r="E14" s="10" t="n"/>
      <c r="F14" s="27" t="inlineStr">
        <is>
          <t>Quem compra obra parada e irregular exige prêmio de risco</t>
        </is>
      </c>
    </row>
    <row r="15">
      <c r="B15" s="35" t="inlineStr">
        <is>
          <t>VALOR PELO MÉTODO COMPARATIVO</t>
        </is>
      </c>
      <c r="C15" s="36">
        <f>SUM(C11:C14)</f>
        <v/>
      </c>
      <c r="D15" s="5" t="n"/>
      <c r="E15" s="5" t="n"/>
      <c r="F15" s="37" t="inlineStr"/>
    </row>
    <row r="17" ht="24" customHeight="1">
      <c r="A17" t="inlineStr"/>
      <c r="B17" s="24" t="inlineStr">
        <is>
          <t>MÉTODO 2 · EVOLUTIVO  (terreno + custo de reprodução depreciado)   (peso 30%)</t>
        </is>
      </c>
    </row>
    <row r="18">
      <c r="B18" s="25" t="inlineStr">
        <is>
          <t>Área do terreno (m²)</t>
        </is>
      </c>
      <c r="C18" s="29" t="n">
        <v>500</v>
      </c>
      <c r="D18" s="10" t="n"/>
      <c r="E18" s="10" t="n"/>
      <c r="F18" s="27" t="inlineStr"/>
    </row>
    <row r="19">
      <c r="B19" s="25" t="inlineStr">
        <is>
          <t>Valor unitário do terreno (R$/m²)</t>
        </is>
      </c>
      <c r="C19" s="26" t="n">
        <v>750</v>
      </c>
      <c r="D19" s="10" t="n"/>
      <c r="E19" s="10" t="n"/>
      <c r="F19" s="27" t="inlineStr">
        <is>
          <t>Base: lotes no Pq. das Laranjeiras R$ 500–800/m²; áreas maiores/comerciais R$ 1.427–1.851/m²</t>
        </is>
      </c>
    </row>
    <row r="20">
      <c r="B20" s="25" t="inlineStr">
        <is>
          <t>Fator esquina + avenida (uso comercial)</t>
        </is>
      </c>
      <c r="C20" s="28" t="n">
        <v>1.15</v>
      </c>
      <c r="D20" s="10" t="n"/>
      <c r="E20" s="10" t="n"/>
      <c r="F20" s="27" t="inlineStr"/>
    </row>
    <row r="21">
      <c r="B21" s="38" t="inlineStr">
        <is>
          <t>Valor do terreno</t>
        </is>
      </c>
      <c r="C21" s="39">
        <f>ROUND(C18*C19*C20,-3)</f>
        <v/>
      </c>
      <c r="D21" s="10" t="n"/>
      <c r="E21" s="10" t="n"/>
      <c r="F21" s="27" t="inlineStr"/>
    </row>
    <row r="22">
      <c r="B22" s="25" t="inlineStr">
        <is>
          <t>Custo de reprodução da benfeitoria NOVA (R$/m²)</t>
        </is>
      </c>
      <c r="C22" s="26" t="n">
        <v>1600</v>
      </c>
      <c r="D22" s="10" t="n"/>
      <c r="E22" s="10" t="n"/>
      <c r="F22" s="27" t="inlineStr">
        <is>
          <t>CUB-MG jun/26 R8-N = R$ 2.548,33/m²; padrão GI ~55% + fundação, piso industrial, alvenaria e mezanino</t>
        </is>
      </c>
    </row>
    <row r="23">
      <c r="B23" s="25" t="inlineStr">
        <is>
          <t>Custo de reprodução total (500 m²)</t>
        </is>
      </c>
      <c r="C23" s="30">
        <f>C22*500</f>
        <v/>
      </c>
      <c r="D23" s="10" t="n"/>
      <c r="E23" s="10" t="n"/>
      <c r="F23" s="27" t="inlineStr"/>
    </row>
    <row r="24">
      <c r="B24" s="25" t="inlineStr">
        <is>
          <t>% da obra efetivamente executado</t>
        </is>
      </c>
      <c r="C24" s="40" t="n">
        <v>0.63</v>
      </c>
      <c r="D24" s="10" t="n"/>
      <c r="E24" s="10" t="n"/>
      <c r="F24" s="27" t="inlineStr">
        <is>
          <t>Fundação + estrutura + cobertura + alvenaria + piso ≈ 63% da curva de desembolso</t>
        </is>
      </c>
    </row>
    <row r="25">
      <c r="B25" s="25" t="inlineStr">
        <is>
          <t>Benfeitoria executada</t>
        </is>
      </c>
      <c r="C25" s="30">
        <f>C23*C24</f>
        <v/>
      </c>
      <c r="D25" s="10" t="n"/>
      <c r="E25" s="10" t="n"/>
      <c r="F25" s="27" t="inlineStr"/>
    </row>
    <row r="26">
      <c r="B26" s="25" t="inlineStr">
        <is>
          <t>Depreciação (Ross-Heidecke, estado C)</t>
        </is>
      </c>
      <c r="C26" s="28" t="n">
        <v>0.9</v>
      </c>
      <c r="D26" s="10" t="n"/>
      <c r="E26" s="10" t="n"/>
      <c r="F26" s="27" t="inlineStr">
        <is>
          <t>Obra nova porém exposta: oxidação de tesouras, infiltração, vegetação — reparos simples</t>
        </is>
      </c>
    </row>
    <row r="27">
      <c r="B27" s="38" t="inlineStr">
        <is>
          <t>Benfeitoria depreciada</t>
        </is>
      </c>
      <c r="C27" s="39">
        <f>C25*C26</f>
        <v/>
      </c>
      <c r="D27" s="10" t="n"/>
      <c r="E27" s="10" t="n"/>
      <c r="F27" s="27" t="inlineStr"/>
    </row>
    <row r="28">
      <c r="B28" s="25" t="inlineStr">
        <is>
          <t>Soma (terreno + benfeitoria)</t>
        </is>
      </c>
      <c r="C28" s="30">
        <f>C21+C27</f>
        <v/>
      </c>
      <c r="D28" s="10" t="n"/>
      <c r="E28" s="10" t="n"/>
      <c r="F28" s="27" t="inlineStr"/>
    </row>
    <row r="29">
      <c r="B29" s="25" t="inlineStr">
        <is>
          <t>Fator de comercialização (ativo inacabado e não averbado)</t>
        </is>
      </c>
      <c r="C29" s="28" t="n">
        <v>0.72</v>
      </c>
      <c r="D29" s="10" t="n"/>
      <c r="E29" s="10" t="n"/>
      <c r="F29" s="27" t="inlineStr">
        <is>
          <t>O mercado não paga custo por obra parada — paga menos</t>
        </is>
      </c>
    </row>
    <row r="30">
      <c r="B30" s="35" t="inlineStr">
        <is>
          <t>VALOR PELO MÉTODO EVOLUTIVO</t>
        </is>
      </c>
      <c r="C30" s="36">
        <f>ROUND(C28*C29,-3)</f>
        <v/>
      </c>
      <c r="D30" s="5" t="n"/>
      <c r="E30" s="5" t="n"/>
      <c r="F30" s="37" t="inlineStr"/>
    </row>
    <row r="32" ht="24" customHeight="1">
      <c r="A32" t="inlineStr"/>
      <c r="B32" s="24" t="inlineStr">
        <is>
          <t>MÉTODO 3 · RENDA  (capitalização da renda potencial de locação)   (peso 20%)</t>
        </is>
      </c>
    </row>
    <row r="33">
      <c r="B33" s="25" t="inlineStr">
        <is>
          <t>Locação potencial (R$/m²/mês) — imóvel pronto</t>
        </is>
      </c>
      <c r="C33" s="26" t="n">
        <v>21</v>
      </c>
      <c r="D33" s="10" t="n"/>
      <c r="E33" s="10" t="n"/>
      <c r="F33" s="27" t="inlineStr">
        <is>
          <t>Comparáveis de locação em Uberaba: R$ 17,78/m² (675 m²) a R$ 32,00/m² (250 m²)</t>
        </is>
      </c>
    </row>
    <row r="34">
      <c r="B34" s="25" t="inlineStr">
        <is>
          <t>Renda mensal potencial (500 m²)</t>
        </is>
      </c>
      <c r="C34" s="30">
        <f>C33*500</f>
        <v/>
      </c>
      <c r="D34" s="10" t="n"/>
      <c r="E34" s="10" t="n"/>
      <c r="F34" s="27" t="inlineStr"/>
    </row>
    <row r="35">
      <c r="B35" s="25" t="inlineStr">
        <is>
          <t>Cap rate mensal</t>
        </is>
      </c>
      <c r="C35" s="41" t="n">
        <v>0.008500000000000001</v>
      </c>
      <c r="D35" s="10" t="n"/>
      <c r="E35" s="10" t="n"/>
      <c r="F35" s="27" t="inlineStr">
        <is>
          <t>≈10,2% a.a. — patamar de galpão em cidade média do interior com Selic elevada</t>
        </is>
      </c>
    </row>
    <row r="36">
      <c r="B36" s="38" t="inlineStr">
        <is>
          <t>Valor pronto pela renda</t>
        </is>
      </c>
      <c r="C36" s="39">
        <f>ROUND(C34/C35,-3)</f>
        <v/>
      </c>
      <c r="D36" s="10" t="n"/>
      <c r="E36" s="10" t="n"/>
      <c r="F36" s="27" t="inlineStr"/>
    </row>
    <row r="37">
      <c r="B37" s="25" t="inlineStr">
        <is>
          <t>(−) Custo para concluir o acabamento</t>
        </is>
      </c>
      <c r="C37" s="30" t="n">
        <v>-300000</v>
      </c>
      <c r="D37" s="10" t="n"/>
      <c r="E37" s="10" t="n"/>
      <c r="F37" s="27" t="inlineStr"/>
    </row>
    <row r="38">
      <c r="B38" s="25" t="inlineStr">
        <is>
          <t>(−) Custo de regularização/averbação</t>
        </is>
      </c>
      <c r="C38" s="30" t="n">
        <v>-50000</v>
      </c>
      <c r="D38" s="10" t="n"/>
      <c r="E38" s="10" t="n"/>
      <c r="F38" s="27" t="inlineStr"/>
    </row>
    <row r="39">
      <c r="B39" s="25" t="inlineStr">
        <is>
          <t>(−) Renda perdida durante a obra (8 meses)</t>
        </is>
      </c>
      <c r="C39" s="30">
        <f>-ROUND(C34*8,-3)</f>
        <v/>
      </c>
      <c r="D39" s="10" t="n"/>
      <c r="E39" s="10" t="n"/>
      <c r="F39" s="27" t="inlineStr">
        <is>
          <t>Vacância no período de conclusão</t>
        </is>
      </c>
    </row>
    <row r="40">
      <c r="B40" s="25" t="inlineStr">
        <is>
          <t>Subtotal</t>
        </is>
      </c>
      <c r="C40" s="30">
        <f>SUM(C36:C39)</f>
        <v/>
      </c>
      <c r="D40" s="10" t="n"/>
      <c r="E40" s="10" t="n"/>
      <c r="F40" s="27" t="inlineStr"/>
    </row>
    <row r="41">
      <c r="B41" s="25" t="inlineStr">
        <is>
          <t>Margem de risco do investidor (15%)</t>
        </is>
      </c>
      <c r="C41" s="28" t="n">
        <v>0.85</v>
      </c>
      <c r="D41" s="10" t="n"/>
      <c r="E41" s="10" t="n"/>
      <c r="F41" s="27" t="inlineStr"/>
    </row>
    <row r="42">
      <c r="B42" s="35" t="inlineStr">
        <is>
          <t>VALOR PELO MÉTODO DA RENDA</t>
        </is>
      </c>
      <c r="C42" s="36">
        <f>ROUND(C40*C41,-3)</f>
        <v/>
      </c>
      <c r="D42" s="5" t="n"/>
      <c r="E42" s="5" t="n"/>
      <c r="F42" s="37" t="inlineStr"/>
    </row>
    <row r="45" ht="24" customHeight="1">
      <c r="A45" t="inlineStr"/>
      <c r="B45" s="42" t="inlineStr">
        <is>
          <t>RECONCILIAÇÃO · VALOR DE MERCADO</t>
        </is>
      </c>
    </row>
    <row r="46" ht="30" customHeight="1">
      <c r="A46" s="43" t="inlineStr"/>
      <c r="B46" s="43" t="inlineStr">
        <is>
          <t>Método</t>
        </is>
      </c>
      <c r="C46" s="43" t="inlineStr">
        <is>
          <t>Valor</t>
        </is>
      </c>
      <c r="D46" s="43" t="inlineStr">
        <is>
          <t>Peso</t>
        </is>
      </c>
      <c r="E46" s="43" t="inlineStr">
        <is>
          <t>Contribuição</t>
        </is>
      </c>
      <c r="F46" s="43" t="inlineStr">
        <is>
          <t>Justificativa do peso</t>
        </is>
      </c>
    </row>
    <row r="47">
      <c r="B47" s="44" t="inlineStr">
        <is>
          <t>Comparativo de dados de mercado</t>
        </is>
      </c>
      <c r="C47" s="11">
        <f>C15</f>
        <v/>
      </c>
      <c r="D47" s="45" t="n">
        <v>0.5</v>
      </c>
      <c r="E47" s="11">
        <f>C47*D47</f>
        <v/>
      </c>
      <c r="F47" s="27" t="inlineStr">
        <is>
          <t>Método preferencial da NBR 14653 — há amostra suficiente e homogênea no próprio bairro</t>
        </is>
      </c>
    </row>
    <row r="48">
      <c r="B48" s="44" t="inlineStr">
        <is>
          <t>Evolutivo (terreno + custo)</t>
        </is>
      </c>
      <c r="C48" s="11">
        <f>C30</f>
        <v/>
      </c>
      <c r="D48" s="45" t="n">
        <v>0.3</v>
      </c>
      <c r="E48" s="11">
        <f>C48*D48</f>
        <v/>
      </c>
      <c r="F48" s="27" t="inlineStr">
        <is>
          <t>Ancora o valor no custo real já incorrido — essencial em obra inacabada</t>
        </is>
      </c>
    </row>
    <row r="49">
      <c r="B49" s="44" t="inlineStr">
        <is>
          <t>Renda (capitalização)</t>
        </is>
      </c>
      <c r="C49" s="11">
        <f>C42</f>
        <v/>
      </c>
      <c r="D49" s="45" t="n">
        <v>0.2</v>
      </c>
      <c r="E49" s="11">
        <f>C49*D49</f>
        <v/>
      </c>
      <c r="F49" s="27" t="inlineStr">
        <is>
          <t>Amostra de locação em Uberaba é rasa — peso menor</t>
        </is>
      </c>
    </row>
    <row r="50" ht="26" customHeight="1">
      <c r="B50" s="46" t="inlineStr">
        <is>
          <t>VALOR DE MERCADO — ESTADO ATUAL (as-is)</t>
        </is>
      </c>
      <c r="C50" s="47">
        <f>ROUND(SUM(E47:E49),-4)</f>
        <v/>
      </c>
      <c r="D50" s="48" t="n"/>
      <c r="E50" s="48" t="n"/>
      <c r="F50" s="48" t="n"/>
    </row>
    <row r="52">
      <c r="B52" s="49" t="inlineStr">
        <is>
          <t>Limite inferior do intervalo (−15%)</t>
        </is>
      </c>
      <c r="C52" s="50">
        <f>ROUND(C50*0.85,-3)</f>
        <v/>
      </c>
      <c r="D52" s="51" t="n"/>
      <c r="E52" s="51" t="n"/>
      <c r="F52" s="52" t="inlineStr">
        <is>
          <t>Fundamentação Grau II · NBR 14653-2</t>
        </is>
      </c>
    </row>
    <row r="53">
      <c r="B53" s="49" t="inlineStr">
        <is>
          <t>Limite superior do intervalo (+15%)</t>
        </is>
      </c>
      <c r="C53" s="50">
        <f>ROUND(C50*1.15,-3)</f>
        <v/>
      </c>
      <c r="D53" s="51" t="n"/>
      <c r="E53" s="51" t="n"/>
      <c r="F53" s="52" t="inlineStr">
        <is>
          <t>Fundamentação Grau II · NBR 14653-2</t>
        </is>
      </c>
    </row>
    <row r="54">
      <c r="B54" s="49" t="inlineStr">
        <is>
          <t>Valor de liquidação forçada (venda em até 90 dias)</t>
        </is>
      </c>
      <c r="C54" s="50">
        <f>ROUND(C50*0.80,-3)</f>
        <v/>
      </c>
      <c r="D54" s="51" t="n"/>
      <c r="E54" s="51" t="n"/>
      <c r="F54" s="52" t="inlineStr">
        <is>
          <t>Preço de queima — o piso absoluto do negócio</t>
        </is>
      </c>
    </row>
    <row r="55">
      <c r="B55" s="49" t="inlineStr">
        <is>
          <t>Valor do imóvel PRONTO e averbado</t>
        </is>
      </c>
      <c r="C55" s="50">
        <f>C11</f>
        <v/>
      </c>
      <c r="D55" s="51" t="n"/>
      <c r="E55" s="51" t="n"/>
      <c r="F55" s="52" t="inlineStr">
        <is>
          <t>Potencial destravado após R$ 350 mil de investimento</t>
        </is>
      </c>
    </row>
    <row r="57" ht="24" customHeight="1">
      <c r="A57" t="inlineStr"/>
      <c r="B57" s="53" t="inlineStr">
        <is>
          <t>VEREDITO · A PROPOSTA DE R$ 500.000 À VISTA</t>
        </is>
      </c>
    </row>
    <row r="58">
      <c r="B58" s="38" t="inlineStr">
        <is>
          <t>Proposta recebida</t>
        </is>
      </c>
      <c r="C58" s="39" t="n">
        <v>500000</v>
      </c>
      <c r="D58" s="10" t="n"/>
      <c r="E58" s="10" t="n"/>
      <c r="F58" s="27" t="inlineStr">
        <is>
          <t>À vista</t>
        </is>
      </c>
    </row>
    <row r="59">
      <c r="B59" s="25" t="inlineStr">
        <is>
          <t>% do valor de mercado as-is</t>
        </is>
      </c>
      <c r="C59" s="40">
        <f>C58/C50</f>
        <v/>
      </c>
      <c r="D59" s="10" t="n"/>
      <c r="E59" s="10" t="n"/>
      <c r="F59" s="27" t="inlineStr">
        <is>
          <t>Abaixo de 100% = proposta deficitária</t>
        </is>
      </c>
    </row>
    <row r="60">
      <c r="B60" s="25" t="inlineStr">
        <is>
          <t>% do valor de liquidação forçada</t>
        </is>
      </c>
      <c r="C60" s="40">
        <f>C58/ROUND(C50*0.8,-3)</f>
        <v/>
      </c>
      <c r="D60" s="10" t="n"/>
      <c r="E60" s="10" t="n"/>
      <c r="F60" s="27" t="inlineStr">
        <is>
          <t>Abaixo de 100% = a proposta é pior que uma venda de queima</t>
        </is>
      </c>
    </row>
    <row r="61">
      <c r="B61" s="25" t="inlineStr">
        <is>
          <t>% do valor do imóvel pronto</t>
        </is>
      </c>
      <c r="C61" s="40">
        <f>C58/C11</f>
        <v/>
      </c>
      <c r="D61" s="10" t="n"/>
      <c r="E61" s="10" t="n"/>
      <c r="F61" s="27" t="inlineStr"/>
    </row>
    <row r="62">
      <c r="B62" s="38" t="inlineStr">
        <is>
          <t>Diferença em reais (proposta − valor justo)</t>
        </is>
      </c>
      <c r="C62" s="39">
        <f>C58-C50</f>
        <v/>
      </c>
      <c r="D62" s="10" t="n"/>
      <c r="E62" s="10" t="n"/>
      <c r="F62" s="27" t="inlineStr">
        <is>
          <t>Quanto o cliente deixa na mesa se aceitar hoje</t>
        </is>
      </c>
    </row>
    <row r="64">
      <c r="B64" s="14" t="inlineStr">
        <is>
          <t>TESTE DO VALOR PRESENTE · vale a pena esperar?</t>
        </is>
      </c>
    </row>
    <row r="65">
      <c r="B65" s="25" t="inlineStr">
        <is>
          <t>Cenário A · aceitar R$ 500.000 hoje</t>
        </is>
      </c>
      <c r="C65" s="30">
        <f>C58</f>
        <v/>
      </c>
      <c r="D65" s="10" t="n"/>
      <c r="E65" s="10" t="n"/>
      <c r="F65" s="27" t="inlineStr">
        <is>
          <t>Liquidez imediata</t>
        </is>
      </c>
    </row>
    <row r="66">
      <c r="B66" s="25" t="inlineStr">
        <is>
          <t>Cenário B · vender pelo valor de mercado em 8 meses</t>
        </is>
      </c>
      <c r="C66" s="30">
        <f>C50</f>
        <v/>
      </c>
      <c r="D66" s="10" t="n"/>
      <c r="E66" s="10" t="n"/>
      <c r="F66" s="27" t="inlineStr">
        <is>
          <t>Prazo médio de absorção de galpão no interior</t>
        </is>
      </c>
    </row>
    <row r="67">
      <c r="B67" s="54" t="inlineStr">
        <is>
          <t xml:space="preserve">  Custo de capital mensal</t>
        </is>
      </c>
      <c r="C67" s="41" t="n">
        <v>0.0115</v>
      </c>
      <c r="D67" s="10" t="n"/>
      <c r="E67" s="10" t="n"/>
      <c r="F67" s="27" t="inlineStr">
        <is>
          <t>Taxa de desconto conservadora para PJ</t>
        </is>
      </c>
    </row>
    <row r="68">
      <c r="B68" s="54" t="inlineStr">
        <is>
          <t xml:space="preserve">  Valor presente do Cenário B</t>
        </is>
      </c>
      <c r="C68" s="30">
        <f>ROUND(C66/((1+C67)^8),-2)</f>
        <v/>
      </c>
      <c r="D68" s="10" t="n"/>
      <c r="E68" s="10" t="n"/>
      <c r="F68" s="27" t="inlineStr">
        <is>
          <t>Trazido a valor de hoje</t>
        </is>
      </c>
    </row>
    <row r="69">
      <c r="B69" s="54" t="inlineStr">
        <is>
          <t xml:space="preserve">  (−) Carrego de 8 meses</t>
        </is>
      </c>
      <c r="C69" s="30">
        <f>-ROUND('3. Custo de carregar'!E13/12*8,-2)</f>
        <v/>
      </c>
      <c r="D69" s="10" t="n"/>
      <c r="E69" s="10" t="n"/>
      <c r="F69" s="27" t="inlineStr">
        <is>
          <t>Desembolso de caixa no período</t>
        </is>
      </c>
    </row>
    <row r="70">
      <c r="B70" s="38" t="inlineStr">
        <is>
          <t>CENÁRIO B LÍQUIDO A VALOR PRESENTE</t>
        </is>
      </c>
      <c r="C70" s="39">
        <f>SUM(C68:C69)</f>
        <v/>
      </c>
      <c r="D70" s="10" t="n"/>
      <c r="E70" s="10" t="n"/>
      <c r="F70" s="27" t="inlineStr"/>
    </row>
    <row r="71">
      <c r="B71" s="31" t="inlineStr">
        <is>
          <t>VANTAGEM DE ESPERAR (B − A)</t>
        </is>
      </c>
      <c r="C71" s="32">
        <f>C70-C58</f>
        <v/>
      </c>
      <c r="D71" s="33" t="n"/>
      <c r="E71" s="33" t="n"/>
      <c r="F71" s="34" t="inlineStr">
        <is>
          <t>Positivo = esperar vale mais, mesmo descontado</t>
        </is>
      </c>
    </row>
    <row r="72">
      <c r="B72" s="38" t="inlineStr">
        <is>
          <t>Retorno que o Minaspão precisa gerar em 8 meses para justificar aceitar</t>
        </is>
      </c>
      <c r="C72" s="55">
        <f>C71/C58</f>
        <v/>
      </c>
      <c r="D72" s="10" t="n"/>
      <c r="E72" s="10" t="n"/>
      <c r="F72" s="27" t="inlineStr">
        <is>
          <t>Se o capital antecipado render MAIS que isso no Minaspão, aceitar passa a fazer sentido</t>
        </is>
      </c>
    </row>
    <row r="73">
      <c r="B73" s="54" t="inlineStr">
        <is>
          <t xml:space="preserve">  equivalente ao mês</t>
        </is>
      </c>
      <c r="C73" s="41">
        <f>(1+C72)^(1/8)-1</f>
        <v/>
      </c>
      <c r="D73" s="10" t="n"/>
      <c r="E73" s="10" t="n"/>
      <c r="F73" s="27" t="inlineStr"/>
    </row>
  </sheetData>
  <mergeCells count="7">
    <mergeCell ref="B4:F4"/>
    <mergeCell ref="A2:F2"/>
    <mergeCell ref="A1:F1"/>
    <mergeCell ref="B45:F45"/>
    <mergeCell ref="B32:F32"/>
    <mergeCell ref="B17:F17"/>
    <mergeCell ref="B57:F5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" customWidth="1" min="1" max="1"/>
    <col width="44" customWidth="1" min="2" max="2"/>
    <col width="16" customWidth="1" min="3" max="3"/>
    <col width="16" customWidth="1" min="4" max="4"/>
    <col width="16" customWidth="1" min="5" max="5"/>
    <col width="46" customWidth="1" min="6" max="6"/>
  </cols>
  <sheetData>
    <row r="1" ht="28" customHeight="1">
      <c r="A1" s="1" t="inlineStr">
        <is>
          <t>CUSTO DE MANTER O IMÓVEL PARADO · POR ANO</t>
        </is>
      </c>
    </row>
    <row r="2">
      <c r="A2" s="2" t="inlineStr">
        <is>
          <t>Desembolso de caixa + custo econômico (invisível, mas real)</t>
        </is>
      </c>
    </row>
    <row r="4" ht="30" customHeight="1">
      <c r="A4" s="3" t="inlineStr"/>
      <c r="B4" s="3" t="inlineStr">
        <is>
          <t>Item</t>
        </is>
      </c>
      <c r="C4" s="3" t="inlineStr">
        <is>
          <t>Mínimo</t>
        </is>
      </c>
      <c r="D4" s="3" t="inlineStr">
        <is>
          <t>Máximo</t>
        </is>
      </c>
      <c r="E4" s="3" t="inlineStr">
        <is>
          <t>Adotado</t>
        </is>
      </c>
      <c r="F4" s="3" t="inlineStr">
        <is>
          <t>Base / observação</t>
        </is>
      </c>
    </row>
    <row r="5" ht="28" customHeight="1">
      <c r="B5" s="44" t="inlineStr">
        <is>
          <t>IPTU (cadastro com terreno + edificação parcial)</t>
        </is>
      </c>
      <c r="C5" s="11" t="n">
        <v>2400</v>
      </c>
      <c r="D5" s="11" t="n">
        <v>5400</v>
      </c>
      <c r="E5" s="39" t="n">
        <v>3900</v>
      </c>
      <c r="F5" s="27" t="inlineStr">
        <is>
          <t>Uberaba · confirmar na guia. Atenção: após a averbação o IPTU sobe — a edificação entra no valor venal</t>
        </is>
      </c>
    </row>
    <row r="6" ht="28" customHeight="1">
      <c r="B6" s="44" t="inlineStr">
        <is>
          <t>Taxa de coleta de lixo / serviços urbanos</t>
        </is>
      </c>
      <c r="C6" s="11" t="n">
        <v>300</v>
      </c>
      <c r="D6" s="11" t="n">
        <v>800</v>
      </c>
      <c r="E6" s="39" t="n">
        <v>550</v>
      </c>
      <c r="F6" s="27" t="inlineStr">
        <is>
          <t>Lançada junto ao IPTU</t>
        </is>
      </c>
    </row>
    <row r="7" ht="28" customHeight="1">
      <c r="B7" s="44" t="inlineStr">
        <is>
          <t>Roçagem e limpeza do lote (4x/ano)</t>
        </is>
      </c>
      <c r="C7" s="11" t="n">
        <v>1600</v>
      </c>
      <c r="D7" s="11" t="n">
        <v>2800</v>
      </c>
      <c r="E7" s="39" t="n">
        <v>2200</v>
      </c>
      <c r="F7" s="27" t="inlineStr">
        <is>
          <t>Obrigatório — o município autua lote com mato alto. As fotos já mostram vegetação tomando o terreno</t>
        </is>
      </c>
    </row>
    <row r="8" ht="28" customHeight="1">
      <c r="B8" s="44" t="inlineStr">
        <is>
          <t>Manutenção preventiva da estrutura</t>
        </is>
      </c>
      <c r="C8" s="11" t="n">
        <v>3000</v>
      </c>
      <c r="D8" s="11" t="n">
        <v>6000</v>
      </c>
      <c r="E8" s="39" t="n">
        <v>4500</v>
      </c>
      <c r="F8" s="27" t="inlineStr">
        <is>
          <t>Pintura anticorrosiva das tesouras metálicas, calhas, rufos e vedação. Item crítico: estrutura exposta oxida</t>
        </is>
      </c>
    </row>
    <row r="9" ht="28" customHeight="1">
      <c r="B9" s="44" t="inlineStr">
        <is>
          <t>Segurança (monitoramento + cerca/alarme)</t>
        </is>
      </c>
      <c r="C9" s="11" t="n">
        <v>2400</v>
      </c>
      <c r="D9" s="11" t="n">
        <v>6000</v>
      </c>
      <c r="E9" s="39" t="n">
        <v>3600</v>
      </c>
      <c r="F9" s="27" t="inlineStr">
        <is>
          <t>Obra parada sem uso é alvo de furto de cabo, telha e estrutura</t>
        </is>
      </c>
    </row>
    <row r="10" ht="28" customHeight="1">
      <c r="B10" s="44" t="inlineStr">
        <is>
          <t>Seguro (obra paralisada + responsabilidade civil)</t>
        </is>
      </c>
      <c r="C10" s="11" t="n">
        <v>1800</v>
      </c>
      <c r="D10" s="11" t="n">
        <v>3500</v>
      </c>
      <c r="E10" s="39" t="n">
        <v>2600</v>
      </c>
      <c r="F10" s="27" t="inlineStr">
        <is>
          <t>Recomendável, não obrigatório</t>
        </is>
      </c>
    </row>
    <row r="11" ht="28" customHeight="1">
      <c r="B11" s="44" t="inlineStr">
        <is>
          <t>Energia — taxa de disponibilidade</t>
        </is>
      </c>
      <c r="C11" s="11" t="n">
        <v>600</v>
      </c>
      <c r="D11" s="11" t="n">
        <v>1200</v>
      </c>
      <c r="E11" s="39" t="n">
        <v>900</v>
      </c>
      <c r="F11" s="27" t="inlineStr">
        <is>
          <t>Ligação trifásica ativa na testada</t>
        </is>
      </c>
    </row>
    <row r="12" ht="28" customHeight="1">
      <c r="B12" s="44" t="inlineStr">
        <is>
          <t>Contingência (multa por lote sujo / passeio não executado)</t>
        </is>
      </c>
      <c r="C12" s="11" t="n">
        <v>0</v>
      </c>
      <c r="D12" s="11" t="n">
        <v>3000</v>
      </c>
      <c r="E12" s="39" t="n">
        <v>800</v>
      </c>
      <c r="F12" s="27" t="inlineStr">
        <is>
          <t>Uberaba exige calçada executada e lote limpo</t>
        </is>
      </c>
    </row>
    <row r="13">
      <c r="B13" s="56" t="inlineStr">
        <is>
          <t>SUBTOTAL · DESEMBOLSO DE CAIXA</t>
        </is>
      </c>
      <c r="C13" s="57">
        <f>SUM(C5:C12)</f>
        <v/>
      </c>
      <c r="D13" s="57">
        <f>SUM(D5:D12)</f>
        <v/>
      </c>
      <c r="E13" s="57">
        <f>SUM(E5:E12)</f>
        <v/>
      </c>
      <c r="F13" s="58" t="n"/>
    </row>
    <row r="15">
      <c r="B15" s="59" t="inlineStr">
        <is>
          <t>CUSTO ECONÔMICO — não sai do bolso, mas destrói valor</t>
        </is>
      </c>
    </row>
    <row r="16" ht="28" customHeight="1">
      <c r="B16" s="44" t="inlineStr">
        <is>
          <t>Custo de oportunidade do capital imobilizado</t>
        </is>
      </c>
      <c r="C16" s="11" t="n">
        <v>66000</v>
      </c>
      <c r="D16" s="11" t="n">
        <v>112000</v>
      </c>
      <c r="E16" s="60" t="n">
        <v>89100</v>
      </c>
      <c r="F16" s="27" t="inlineStr">
        <is>
          <t>R$ 670.000 × 13,5% a.a. — o que o capital renderia aplicado</t>
        </is>
      </c>
    </row>
    <row r="17" ht="28" customHeight="1">
      <c r="B17" s="44" t="inlineStr">
        <is>
          <t>Depreciação por obra paralisada</t>
        </is>
      </c>
      <c r="C17" s="11" t="n">
        <v>9000</v>
      </c>
      <c r="D17" s="11" t="n">
        <v>18000</v>
      </c>
      <c r="E17" s="60" t="n">
        <v>13600</v>
      </c>
      <c r="F17" s="27" t="inlineStr">
        <is>
          <t>3% a.a. sobre a benfeitoria de R$ 454 mil — oxidação, infiltração, vandalismo, obsolescência do projeto</t>
        </is>
      </c>
    </row>
    <row r="18" ht="26" customHeight="1">
      <c r="B18" s="61" t="inlineStr">
        <is>
          <t>CUSTO TOTAL DE CARREGAR (caixa + econômico) / ANO</t>
        </is>
      </c>
      <c r="C18" s="62">
        <f>C13+SUM(C16:C17)</f>
        <v/>
      </c>
      <c r="D18" s="62">
        <f>D13+SUM(D16:D17)</f>
        <v/>
      </c>
      <c r="E18" s="62">
        <f>E13+SUM(E16:E17)</f>
        <v/>
      </c>
      <c r="F18" s="63" t="n"/>
    </row>
    <row r="19">
      <c r="B19" s="59" t="inlineStr">
        <is>
          <t>por mês</t>
        </is>
      </c>
      <c r="E19" s="64">
        <f>E18/12</f>
        <v/>
      </c>
      <c r="F19" s="23" t="inlineStr">
        <is>
          <t>Cada mês de indecisão custa isto ao cliente</t>
        </is>
      </c>
    </row>
    <row r="21" ht="28" customHeight="1">
      <c r="A21" s="1" t="inlineStr">
        <is>
          <t>CUSTO PARA CONCLUIR A OBRA E REGULARIZAR</t>
        </is>
      </c>
    </row>
    <row r="22">
      <c r="A22" s="2" t="inlineStr">
        <is>
          <t>Estágio informado: cobertura completa e piso executado — falta acabamento e instalações</t>
        </is>
      </c>
    </row>
    <row r="23" ht="30" customHeight="1">
      <c r="A23" s="3" t="inlineStr"/>
      <c r="B23" s="3" t="inlineStr">
        <is>
          <t>Frente de obra</t>
        </is>
      </c>
      <c r="C23" s="3" t="inlineStr">
        <is>
          <t>Mínimo</t>
        </is>
      </c>
      <c r="D23" s="3" t="inlineStr">
        <is>
          <t>Máximo</t>
        </is>
      </c>
      <c r="E23" s="3" t="inlineStr">
        <is>
          <t>Adotado</t>
        </is>
      </c>
      <c r="F23" s="3" t="inlineStr">
        <is>
          <t>Escopo</t>
        </is>
      </c>
    </row>
    <row r="24">
      <c r="B24" s="44" t="inlineStr">
        <is>
          <t>Reboco interno e externo + pintura</t>
        </is>
      </c>
      <c r="C24" s="11" t="n">
        <v>60000</v>
      </c>
      <c r="D24" s="11" t="n">
        <v>95000</v>
      </c>
      <c r="E24" s="39" t="n">
        <v>81000</v>
      </c>
      <c r="F24" s="13" t="inlineStr">
        <is>
          <t>≈900 m² de parede de bloco a R$ 90/m²</t>
        </is>
      </c>
    </row>
    <row r="25">
      <c r="B25" s="44" t="inlineStr">
        <is>
          <t>Instalação elétrica industrial</t>
        </is>
      </c>
      <c r="C25" s="11" t="n">
        <v>45000</v>
      </c>
      <c r="D25" s="11" t="n">
        <v>75000</v>
      </c>
      <c r="E25" s="39" t="n">
        <v>60000</v>
      </c>
      <c r="F25" s="13" t="inlineStr">
        <is>
          <t>Entrada trifásica, quadro, luminárias, tomadas de força</t>
        </is>
      </c>
    </row>
    <row r="26">
      <c r="B26" s="44" t="inlineStr">
        <is>
          <t>Hidráulica + 2 sanitários + reservatório</t>
        </is>
      </c>
      <c r="C26" s="11" t="n">
        <v>32000</v>
      </c>
      <c r="D26" s="11" t="n">
        <v>58000</v>
      </c>
      <c r="E26" s="39" t="n">
        <v>45000</v>
      </c>
      <c r="F26" s="13" t="inlineStr">
        <is>
          <t>Inclui esgoto e caixa d'água</t>
        </is>
      </c>
    </row>
    <row r="27">
      <c r="B27" s="44" t="inlineStr">
        <is>
          <t>Esquadrias (portão de enrolar, portas, janelas)</t>
        </is>
      </c>
      <c r="C27" s="11" t="n">
        <v>40000</v>
      </c>
      <c r="D27" s="11" t="n">
        <v>70000</v>
      </c>
      <c r="E27" s="39" t="n">
        <v>55000</v>
      </c>
      <c r="F27" s="13" t="inlineStr">
        <is>
          <t>Portão industrial + vãos</t>
        </is>
      </c>
    </row>
    <row r="28">
      <c r="B28" s="44" t="inlineStr">
        <is>
          <t>Calçada, acesso e urbanização da testada</t>
        </is>
      </c>
      <c r="C28" s="11" t="n">
        <v>12000</v>
      </c>
      <c r="D28" s="11" t="n">
        <v>25000</v>
      </c>
      <c r="E28" s="39" t="n">
        <v>18000</v>
      </c>
      <c r="F28" s="13" t="inlineStr">
        <is>
          <t>Exigência municipal</t>
        </is>
      </c>
    </row>
    <row r="29">
      <c r="B29" s="44" t="inlineStr">
        <is>
          <t>Acabamento da área administrativa / mezanino</t>
        </is>
      </c>
      <c r="C29" s="11" t="n">
        <v>40000</v>
      </c>
      <c r="D29" s="11" t="n">
        <v>80000</v>
      </c>
      <c r="E29" s="39" t="n">
        <v>60000</v>
      </c>
      <c r="F29" s="13" t="inlineStr">
        <is>
          <t>≈80 m² de área de apoio</t>
        </is>
      </c>
    </row>
    <row r="30">
      <c r="B30" s="44" t="inlineStr">
        <is>
          <t>Limpeza, remoção de entulho e roçagem</t>
        </is>
      </c>
      <c r="C30" s="11" t="n">
        <v>5000</v>
      </c>
      <c r="D30" s="11" t="n">
        <v>12000</v>
      </c>
      <c r="E30" s="39" t="n">
        <v>8000</v>
      </c>
      <c r="F30" s="13" t="inlineStr">
        <is>
          <t>Preparação para entrega</t>
        </is>
      </c>
    </row>
    <row r="31">
      <c r="B31" s="65" t="inlineStr">
        <is>
          <t>SUBTOTAL OBRA</t>
        </is>
      </c>
      <c r="C31" s="66">
        <f>SUM(C24:C30)</f>
        <v/>
      </c>
      <c r="D31" s="66">
        <f>SUM(D24:D30)</f>
        <v/>
      </c>
      <c r="E31" s="66">
        <f>SUM(E24:E30)</f>
        <v/>
      </c>
      <c r="F31" s="67" t="inlineStr">
        <is>
          <t>≈ R$ 600/m² — coerente com benchmarks de mercado 2026</t>
        </is>
      </c>
    </row>
    <row r="33" ht="30" customHeight="1">
      <c r="A33" s="3" t="inlineStr"/>
      <c r="B33" s="3" t="inlineStr">
        <is>
          <t>Regularização documental</t>
        </is>
      </c>
      <c r="C33" s="3" t="inlineStr">
        <is>
          <t>Mínimo</t>
        </is>
      </c>
      <c r="D33" s="3" t="inlineStr">
        <is>
          <t>Máximo</t>
        </is>
      </c>
      <c r="E33" s="3" t="inlineStr">
        <is>
          <t>Adotado</t>
        </is>
      </c>
      <c r="F33" s="3" t="inlineStr">
        <is>
          <t>Observação</t>
        </is>
      </c>
    </row>
    <row r="34">
      <c r="B34" s="44" t="inlineStr">
        <is>
          <t>Projeto arquitetônico as-built + ART/RRT</t>
        </is>
      </c>
      <c r="C34" s="11" t="n">
        <v>6000</v>
      </c>
      <c r="D34" s="11" t="n">
        <v>12000</v>
      </c>
      <c r="E34" s="39" t="n">
        <v>9000</v>
      </c>
      <c r="F34" s="13" t="inlineStr">
        <is>
          <t>Levantamento cadastral da obra existente</t>
        </is>
      </c>
    </row>
    <row r="35">
      <c r="B35" s="44" t="inlineStr">
        <is>
          <t>Taxas municipais + alvará de regularização</t>
        </is>
      </c>
      <c r="C35" s="11" t="n">
        <v>5000</v>
      </c>
      <c r="D35" s="11" t="n">
        <v>15000</v>
      </c>
      <c r="E35" s="39" t="n">
        <v>9000</v>
      </c>
      <c r="F35" s="13" t="inlineStr">
        <is>
          <t>Pode incluir multa por obra sem alvará</t>
        </is>
      </c>
    </row>
    <row r="36">
      <c r="B36" s="44" t="inlineStr">
        <is>
          <t>Habite-se / auto de conclusão</t>
        </is>
      </c>
      <c r="C36" s="11" t="n">
        <v>2000</v>
      </c>
      <c r="D36" s="11" t="n">
        <v>4000</v>
      </c>
      <c r="E36" s="39" t="n">
        <v>3000</v>
      </c>
      <c r="F36" s="13" t="inlineStr"/>
    </row>
    <row r="37">
      <c r="B37" s="44" t="inlineStr">
        <is>
          <t>INSS da obra — CNO / aferição indireta</t>
        </is>
      </c>
      <c r="C37" s="11" t="n">
        <v>15000</v>
      </c>
      <c r="D37" s="11" t="n">
        <v>40000</v>
      </c>
      <c r="E37" s="39" t="n">
        <v>22000</v>
      </c>
      <c r="F37" s="13" t="inlineStr">
        <is>
          <t>⚠ RISCO ALTO: sem notas fiscais a Receita afere pelo custo padrão. Pode surpreender</t>
        </is>
      </c>
    </row>
    <row r="38">
      <c r="B38" s="44" t="inlineStr">
        <is>
          <t>Averbação em cartório de registro de imóveis</t>
        </is>
      </c>
      <c r="C38" s="11" t="n">
        <v>4000</v>
      </c>
      <c r="D38" s="11" t="n">
        <v>9000</v>
      </c>
      <c r="E38" s="39" t="n">
        <v>7000</v>
      </c>
      <c r="F38" s="13" t="inlineStr">
        <is>
          <t>Emolumentos sobre o valor da construção</t>
        </is>
      </c>
    </row>
    <row r="39">
      <c r="B39" s="65" t="inlineStr">
        <is>
          <t>SUBTOTAL REGULARIZAÇÃO</t>
        </is>
      </c>
      <c r="C39" s="66">
        <f>SUM(C34:C38)</f>
        <v/>
      </c>
      <c r="D39" s="66">
        <f>SUM(D34:D38)</f>
        <v/>
      </c>
      <c r="E39" s="66">
        <f>SUM(E34:E38)</f>
        <v/>
      </c>
      <c r="F39" s="68" t="n"/>
    </row>
    <row r="40" ht="26" customHeight="1">
      <c r="B40" s="69" t="inlineStr">
        <is>
          <t>INVESTIMENTO TOTAL PARA DESTRAVAR O ATIVO</t>
        </is>
      </c>
      <c r="C40" s="70">
        <f>C31+C39</f>
        <v/>
      </c>
      <c r="D40" s="70">
        <f>D31+D39</f>
        <v/>
      </c>
      <c r="E40" s="70">
        <f>E31+E39</f>
        <v/>
      </c>
      <c r="F40" s="71" t="inlineStr">
        <is>
          <t>Transforma um ativo de R$ 670 mil em um ativo de R$ 1,21 milhão</t>
        </is>
      </c>
    </row>
  </sheetData>
  <mergeCells count="4">
    <mergeCell ref="A2:F2"/>
    <mergeCell ref="A21:F21"/>
    <mergeCell ref="A22:F22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" customWidth="1" min="1" max="1"/>
    <col width="34" customWidth="1" min="2" max="2"/>
    <col width="16" customWidth="1" min="3" max="3"/>
    <col width="16" customWidth="1" min="4" max="4"/>
    <col width="16" customWidth="1" min="5" max="5"/>
    <col width="16" customWidth="1" min="6" max="6"/>
    <col width="46" customWidth="1" min="7" max="7"/>
  </cols>
  <sheetData>
    <row r="1" ht="28" customHeight="1">
      <c r="A1" s="1" t="inlineStr">
        <is>
          <t>QUATRO CAMINHOS · QUAL RENDE MAIS AO CLIENTE</t>
        </is>
      </c>
    </row>
    <row r="2">
      <c r="A2" s="2" t="inlineStr">
        <is>
          <t>Simulação líquida, já descontados obra, carrego, corretagem e valor do dinheiro no tempo</t>
        </is>
      </c>
    </row>
    <row r="4" ht="30" customHeight="1">
      <c r="A4" s="3" t="inlineStr"/>
      <c r="B4" s="3" t="inlineStr">
        <is>
          <t>Cenário</t>
        </is>
      </c>
      <c r="C4" s="3" t="inlineStr">
        <is>
          <t>Entrada de caixa</t>
        </is>
      </c>
      <c r="D4" s="3" t="inlineStr">
        <is>
          <t>Investimento</t>
        </is>
      </c>
      <c r="E4" s="3" t="inlineStr">
        <is>
          <t>Prazo (meses)</t>
        </is>
      </c>
      <c r="F4" s="3" t="inlineStr">
        <is>
          <t>Resultado líquido a VP</t>
        </is>
      </c>
      <c r="G4" s="3" t="inlineStr">
        <is>
          <t>Leitura</t>
        </is>
      </c>
    </row>
    <row r="5" ht="34" customHeight="1">
      <c r="B5" s="72" t="inlineStr">
        <is>
          <t>A · Aceitar R$ 500 mil hoje</t>
        </is>
      </c>
      <c r="C5" s="11" t="n">
        <v>500000</v>
      </c>
      <c r="D5" s="11" t="n">
        <v>0</v>
      </c>
      <c r="E5" s="73" t="n">
        <v>0</v>
      </c>
      <c r="F5" s="74" t="n">
        <v>500000</v>
      </c>
      <c r="G5" s="75" t="inlineStr">
        <is>
          <t>Liquidez máxima e imediata. Custo: R$ 170 mil abaixo do valor justo</t>
        </is>
      </c>
    </row>
    <row r="6" ht="34" customHeight="1">
      <c r="B6" s="76" t="inlineStr">
        <is>
          <t>B · Negociar e vender em 8 meses</t>
        </is>
      </c>
      <c r="C6" s="77" t="n">
        <v>670000</v>
      </c>
      <c r="D6" s="77" t="n">
        <v>0</v>
      </c>
      <c r="E6" s="78" t="n">
        <v>8</v>
      </c>
      <c r="F6" s="79" t="n">
        <v>598700</v>
      </c>
      <c r="G6" s="80" t="inlineStr">
        <is>
          <t>Vale R$ 98,7 mil a mais que o cenário A mesmo trazido a valor presente e já descontado o carrego</t>
        </is>
      </c>
    </row>
    <row r="7" ht="34" customHeight="1">
      <c r="B7" s="72" t="inlineStr">
        <is>
          <t>C · Concluir a obra e vender</t>
        </is>
      </c>
      <c r="C7" s="11" t="n">
        <v>1210000</v>
      </c>
      <c r="D7" s="11" t="n">
        <v>350000</v>
      </c>
      <c r="E7" s="73" t="n">
        <v>12</v>
      </c>
      <c r="F7" s="81" t="n">
        <v>696100</v>
      </c>
      <c r="G7" s="75" t="inlineStr">
        <is>
          <t>Melhor retorno absoluto (+R$ 196 mil sobre o cenário A) — mas exige capital que o cliente não tem hoje</t>
        </is>
      </c>
    </row>
    <row r="8" ht="34" customHeight="1">
      <c r="B8" s="72" t="inlineStr">
        <is>
          <t>D · Home equity + manter o ativo</t>
        </is>
      </c>
      <c r="C8" s="11" t="n">
        <v>350000</v>
      </c>
      <c r="D8" s="11" t="n">
        <v>0</v>
      </c>
      <c r="E8" s="73" t="n">
        <v>2</v>
      </c>
      <c r="F8" s="81" t="n">
        <v>670000</v>
      </c>
      <c r="G8" s="75" t="inlineStr">
        <is>
          <t>Levanta caixa para o Minaspão SEM vender — o ativo de R$ 670 mil fica preservado. Exige averbação prévia e o custo do juro corre por fora</t>
        </is>
      </c>
    </row>
    <row r="10">
      <c r="B10" s="46" t="inlineStr">
        <is>
          <t>RECOMENDAÇÃO</t>
        </is>
      </c>
    </row>
    <row r="11">
      <c r="B11" s="82" t="inlineStr">
        <is>
          <t>Recusar os R$ 500 mil na forma apresentada e devolver uma estrutura HÍBRIDA: R$ 500.000 à vista na escritura + R$ 170.000 em 8 a 10 parcelas mensais corrigidas pelo IPCA. O cliente recebe hoje exatamente o caixa que precisa para o Minaspão e ainda recupera os R$ 170 mil que estava prestes a deixar na mesa. Quem tem R$ 500 mil em espécie quase sempre tem capacidade de parcelar o resto — e um comprador que se recusa a parcelar R$ 170 mil está dizendo que o imóvel vale mais do que ele admite.</t>
        </is>
      </c>
    </row>
    <row r="12"/>
    <row r="13"/>
    <row r="15">
      <c r="B15" s="14" t="inlineStr">
        <is>
          <t>TÁTICA DE NEGOCIAÇÃO — as faixas</t>
        </is>
      </c>
    </row>
    <row r="16" ht="24" customHeight="1">
      <c r="B16" s="83" t="inlineStr">
        <is>
          <t>Âncora inicial (pedir)</t>
        </is>
      </c>
      <c r="C16" s="74" t="n">
        <v>790000</v>
      </c>
      <c r="D16" s="84" t="inlineStr">
        <is>
          <t>Abre com folga. Justificada pelo valor pronto de R$ 1,21 milhão menos o custo de conclusão</t>
        </is>
      </c>
      <c r="E16" s="10" t="n"/>
      <c r="F16" s="10" t="n"/>
      <c r="G16" s="10" t="n"/>
    </row>
    <row r="17" ht="24" customHeight="1">
      <c r="B17" s="83" t="inlineStr">
        <is>
          <t>Zona de acordo alvo</t>
        </is>
      </c>
      <c r="C17" s="74" t="n">
        <v>670000</v>
      </c>
      <c r="D17" s="84" t="inlineStr">
        <is>
          <t>Onde o negócio deve fechar — é exatamente o valor de mercado as-is</t>
        </is>
      </c>
      <c r="E17" s="10" t="n"/>
      <c r="F17" s="10" t="n"/>
      <c r="G17" s="10" t="n"/>
    </row>
    <row r="18" ht="24" customHeight="1">
      <c r="B18" s="83" t="inlineStr">
        <is>
          <t>Piso aceitável</t>
        </is>
      </c>
      <c r="C18" s="74" t="n">
        <v>610000</v>
      </c>
      <c r="D18" s="84" t="inlineStr">
        <is>
          <t>Abaixo disso só com contrapartida: escritura em 15 dias, sem corretagem, ou comprador assume a regularização</t>
        </is>
      </c>
      <c r="E18" s="10" t="n"/>
      <c r="F18" s="10" t="n"/>
      <c r="G18" s="10" t="n"/>
    </row>
    <row r="19" ht="24" customHeight="1">
      <c r="B19" s="83" t="inlineStr">
        <is>
          <t>Walk-away — levantar da mesa</t>
        </is>
      </c>
      <c r="C19" s="74" t="n">
        <v>590000</v>
      </c>
      <c r="D19" s="84" t="inlineStr">
        <is>
          <t>Abaixo deste número compensa segurar o ativo e buscar outro comprador</t>
        </is>
      </c>
      <c r="E19" s="10" t="n"/>
      <c r="F19" s="10" t="n"/>
      <c r="G19" s="10" t="n"/>
    </row>
    <row r="20" ht="24" customHeight="1">
      <c r="B20" s="83" t="inlineStr">
        <is>
          <t>Proposta atual do comprador</t>
        </is>
      </c>
      <c r="C20" s="85" t="n">
        <v>500000</v>
      </c>
      <c r="D20" s="84" t="inlineStr">
        <is>
          <t>Está R$ 90 mil abaixo até do walk-away e R$ 36 mil abaixo do preço de queima</t>
        </is>
      </c>
      <c r="E20" s="10" t="n"/>
      <c r="F20" s="10" t="n"/>
      <c r="G20" s="10" t="n"/>
    </row>
  </sheetData>
  <mergeCells count="9">
    <mergeCell ref="D18:G18"/>
    <mergeCell ref="B11:G13"/>
    <mergeCell ref="B10:G10"/>
    <mergeCell ref="A1:G1"/>
    <mergeCell ref="D17:G17"/>
    <mergeCell ref="D20:G20"/>
    <mergeCell ref="D16:G16"/>
    <mergeCell ref="A2:G2"/>
    <mergeCell ref="D19:G1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" customWidth="1" min="1" max="1"/>
    <col width="8" customWidth="1" min="2" max="2"/>
    <col width="40" customWidth="1" min="3" max="3"/>
    <col width="13" customWidth="1" min="4" max="4"/>
    <col width="13" customWidth="1" min="5" max="5"/>
    <col width="58" customWidth="1" min="6" max="6"/>
  </cols>
  <sheetData>
    <row r="1" ht="28" customHeight="1">
      <c r="A1" s="1" t="inlineStr">
        <is>
          <t>MATRIZ DE RISCO · O QUE VERIFICAR ANTES DE ASSINAR QUALQUER COISA</t>
        </is>
      </c>
    </row>
    <row r="4" ht="30" customHeight="1">
      <c r="A4" s="3" t="inlineStr"/>
      <c r="B4" s="3" t="inlineStr">
        <is>
          <t>#</t>
        </is>
      </c>
      <c r="C4" s="3" t="inlineStr">
        <is>
          <t>Risco / ponto de verificação</t>
        </is>
      </c>
      <c r="D4" s="3" t="inlineStr">
        <is>
          <t>Probabil.</t>
        </is>
      </c>
      <c r="E4" s="3" t="inlineStr">
        <is>
          <t>Impacto</t>
        </is>
      </c>
      <c r="F4" s="3" t="inlineStr">
        <is>
          <t>Como resolver</t>
        </is>
      </c>
    </row>
    <row r="5" ht="52" customHeight="1">
      <c r="B5" s="86" t="n">
        <v>1</v>
      </c>
      <c r="C5" s="87" t="inlineStr">
        <is>
          <t>Taxa de ocupação do lote — 500 m² construídos em terreno de 500 m²</t>
        </is>
      </c>
      <c r="D5" s="9" t="inlineStr">
        <is>
          <t>ALTA</t>
        </is>
      </c>
      <c r="E5" s="88" t="inlineStr">
        <is>
          <t>CRÍTICO</t>
        </is>
      </c>
      <c r="F5" s="89" t="inlineStr">
        <is>
          <t>Se toda a área for térrea, a ocupação é de 100% e provavelmente viola recuos e taxa de permeabilidade do Código de Obras. As fotos indicam mezanino/2º pavimento — se o térreo tiver ~350 m² a ocupação cai para 70% e regulariza. VERIFICAR ISTO PRIMEIRO: define se a averbação é viável</t>
        </is>
      </c>
    </row>
    <row r="6" ht="52" customHeight="1">
      <c r="B6" s="86" t="n">
        <v>2</v>
      </c>
      <c r="C6" s="87" t="inlineStr">
        <is>
          <t>Construção não averbada na matrícula</t>
        </is>
      </c>
      <c r="D6" s="9" t="inlineStr">
        <is>
          <t>CERTA</t>
        </is>
      </c>
      <c r="E6" s="88" t="inlineStr">
        <is>
          <t>ALTO</t>
        </is>
      </c>
      <c r="F6" s="89" t="inlineStr">
        <is>
          <t>Elimina o comprador que precisa de financiamento e restringe o mercado a quem tem dinheiro vivo — exatamente quem negocia mais duro. É a causa direta da proposta baixa</t>
        </is>
      </c>
    </row>
    <row r="7" ht="52" customHeight="1">
      <c r="B7" s="86" t="n">
        <v>3</v>
      </c>
      <c r="C7" s="87" t="inlineStr">
        <is>
          <t>INSS da obra (CNO) por aferição indireta</t>
        </is>
      </c>
      <c r="D7" s="9" t="inlineStr">
        <is>
          <t>ALTA</t>
        </is>
      </c>
      <c r="E7" s="90" t="inlineStr">
        <is>
          <t>MÉDIO</t>
        </is>
      </c>
      <c r="F7" s="89" t="inlineStr">
        <is>
          <t>Sem notas fiscais dos materiais, a Receita arbitra a contribuição. Pode chegar a R$ 40 mil. Levantar antes de negociar — vira desconto na mesa se o comprador descobrir primeiro</t>
        </is>
      </c>
    </row>
    <row r="8" ht="52" customHeight="1">
      <c r="B8" s="86" t="n">
        <v>4</v>
      </c>
      <c r="C8" s="87" t="inlineStr">
        <is>
          <t>Zoneamento — uso galpão/depósito permitido na zona?</t>
        </is>
      </c>
      <c r="D8" s="9" t="inlineStr">
        <is>
          <t>MÉDIA</t>
        </is>
      </c>
      <c r="E8" s="88" t="inlineStr">
        <is>
          <t>ALTO</t>
        </is>
      </c>
      <c r="F8" s="89" t="inlineStr">
        <is>
          <t>Pq. das Laranjeiras tem perfil misto. Consultar a certidão de uso e ocupação do solo na Prefeitura de Uberaba</t>
        </is>
      </c>
    </row>
    <row r="9" ht="52" customHeight="1">
      <c r="B9" s="86" t="n">
        <v>5</v>
      </c>
      <c r="C9" s="87" t="inlineStr">
        <is>
          <t>Corrosão da estrutura metálica exposta</t>
        </is>
      </c>
      <c r="D9" s="9" t="inlineStr">
        <is>
          <t>MÉDIA</t>
        </is>
      </c>
      <c r="E9" s="90" t="inlineStr">
        <is>
          <t>MÉDIO</t>
        </is>
      </c>
      <c r="F9" s="89" t="inlineStr">
        <is>
          <t>As tesouras aparecem sem proteção nas fotos. Laudo de engenheiro estrutural custa pouco e evita surpresa de R$ 30–60 mil</t>
        </is>
      </c>
    </row>
    <row r="10" ht="52" customHeight="1">
      <c r="B10" s="86" t="n">
        <v>6</v>
      </c>
      <c r="C10" s="87" t="inlineStr">
        <is>
          <t>Calçada não executada + lote com vegetação alta</t>
        </is>
      </c>
      <c r="D10" s="9" t="inlineStr">
        <is>
          <t>CERTA</t>
        </is>
      </c>
      <c r="E10" s="90" t="inlineStr">
        <is>
          <t>BAIXO</t>
        </is>
      </c>
      <c r="F10" s="89" t="inlineStr">
        <is>
          <t>Passivo de multa municipal. Resolver custa pouco e melhora muito a percepção de valor na visita do comprador</t>
        </is>
      </c>
    </row>
    <row r="11" ht="52" customHeight="1">
      <c r="B11" s="86" t="n">
        <v>7</v>
      </c>
      <c r="C11" s="87" t="inlineStr">
        <is>
          <t>Débitos de IPTU e ônus na matrícula</t>
        </is>
      </c>
      <c r="D11" s="9" t="inlineStr">
        <is>
          <t>A VERIFICAR</t>
        </is>
      </c>
      <c r="E11" s="90" t="inlineStr">
        <is>
          <t>MÉDIO</t>
        </is>
      </c>
      <c r="F11" s="89" t="inlineStr">
        <is>
          <t>Puxar certidão de ônus reais atualizada e a negativa de tributos municipais antes de qualquer negociação</t>
        </is>
      </c>
    </row>
    <row r="12" ht="52" customHeight="1">
      <c r="B12" s="86" t="n">
        <v>8</v>
      </c>
      <c r="C12" s="87" t="inlineStr">
        <is>
          <t>Comprador é vizinho ou já usa o entorno?</t>
        </is>
      </c>
      <c r="D12" s="9" t="inlineStr">
        <is>
          <t>—</t>
        </is>
      </c>
      <c r="E12" s="91" t="inlineStr">
        <is>
          <t>OPORTUNIDADE</t>
        </is>
      </c>
      <c r="F12" s="89" t="inlineStr">
        <is>
          <t>Se o proponente for do ramo e estiver ao lado, o imóvel vale MAIS para ele que para o mercado. Descobrir quem é muda toda a alavancagem da negociação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" customWidth="1" min="1" max="1"/>
    <col width="42" customWidth="1" min="2" max="2"/>
    <col width="68" customWidth="1" min="3" max="3"/>
    <col width="22" customWidth="1" min="4" max="4"/>
  </cols>
  <sheetData>
    <row r="1" ht="28" customHeight="1">
      <c r="A1" s="1" t="inlineStr">
        <is>
          <t>FONTES CONSULTADAS · 03 DE AGOSTO DE 2026</t>
        </is>
      </c>
    </row>
    <row r="4" ht="30" customHeight="1">
      <c r="A4" s="3" t="inlineStr"/>
      <c r="B4" s="3" t="inlineStr">
        <is>
          <t>Fonte</t>
        </is>
      </c>
      <c r="C4" s="3" t="inlineStr">
        <is>
          <t>URL</t>
        </is>
      </c>
      <c r="D4" s="3" t="inlineStr">
        <is>
          <t>Uso no laudo</t>
        </is>
      </c>
    </row>
    <row r="5" ht="26" customHeight="1">
      <c r="B5" s="83" t="inlineStr">
        <is>
          <t>Imovelweb — galpões à venda Uberaba</t>
        </is>
      </c>
      <c r="C5" s="92" t="inlineStr">
        <is>
          <t>https://www.imovelweb.com.br/comerciais-galpao-deposito-barracao-venda-uberaba-mg.html</t>
        </is>
      </c>
      <c r="D5" s="84" t="inlineStr">
        <is>
          <t>Amostra principal de comparáveis</t>
        </is>
      </c>
    </row>
    <row r="6" ht="26" customHeight="1">
      <c r="B6" s="83" t="inlineStr">
        <is>
          <t>VivaReal — galpões à venda Uberaba</t>
        </is>
      </c>
      <c r="C6" s="92" t="inlineStr">
        <is>
          <t>https://www.vivareal.com.br/venda/minas-gerais/uberaba/galpao_comercial/</t>
        </is>
      </c>
      <c r="D6" s="84" t="inlineStr">
        <is>
          <t>Confirmação cruzada dos comparáveis</t>
        </is>
      </c>
    </row>
    <row r="7" ht="26" customHeight="1">
      <c r="B7" s="83" t="inlineStr">
        <is>
          <t>Chaves na Mão — galpões Uberaba</t>
        </is>
      </c>
      <c r="C7" s="92" t="inlineStr">
        <is>
          <t>https://www.chavesnamao.com.br/galpao-a-venda/mg-uberaba/</t>
        </is>
      </c>
      <c r="D7" s="84" t="inlineStr">
        <is>
          <t>Amostra complementar</t>
        </is>
      </c>
    </row>
    <row r="8" ht="26" customHeight="1">
      <c r="B8" s="83" t="inlineStr">
        <is>
          <t>Chaves na Mão — terrenos Pq. das Laranjeiras</t>
        </is>
      </c>
      <c r="C8" s="92" t="inlineStr">
        <is>
          <t>https://www.chavesnamao.com.br/terrenos/mg-uberaba/parque-das-laranjeiras/</t>
        </is>
      </c>
      <c r="D8" s="84" t="inlineStr">
        <is>
          <t>Valor unitário do terreno</t>
        </is>
      </c>
    </row>
    <row r="9" ht="26" customHeight="1">
      <c r="B9" s="83" t="inlineStr">
        <is>
          <t>Chaves na Mão — galpões para alugar Uberaba</t>
        </is>
      </c>
      <c r="C9" s="92" t="inlineStr">
        <is>
          <t>https://www.chavesnamao.com.br/galpao-para-alugar/mg-uberaba/</t>
        </is>
      </c>
      <c r="D9" s="84" t="inlineStr">
        <is>
          <t>Método da renda</t>
        </is>
      </c>
    </row>
    <row r="10" ht="26" customHeight="1">
      <c r="B10" s="83" t="inlineStr">
        <is>
          <t>Sinduscon-MG / MySide — CUB-MG jun/2026</t>
        </is>
      </c>
      <c r="C10" s="92" t="inlineStr">
        <is>
          <t>https://myside.com.br/guia-imoveis/cub-mg</t>
        </is>
      </c>
      <c r="D10" s="84" t="inlineStr">
        <is>
          <t>Custo de reprodução (R$ 2.548,33/m² R8-N)</t>
        </is>
      </c>
    </row>
    <row r="11" ht="26" customHeight="1">
      <c r="B11" s="83" t="inlineStr">
        <is>
          <t>Magis Soluções — preço galpão metálico 2026</t>
        </is>
      </c>
      <c r="C11" s="92" t="inlineStr">
        <is>
          <t>https://solucoesmagis.com/blog/preco-galpao-metalico-m2/</t>
        </is>
      </c>
      <c r="D11" s="84" t="inlineStr">
        <is>
          <t>Custo de construção por especificação</t>
        </is>
      </c>
    </row>
    <row r="12" ht="26" customHeight="1">
      <c r="B12" s="83" t="inlineStr">
        <is>
          <t>Cronoshare — custo galpão industrial 2026</t>
        </is>
      </c>
      <c r="C12" s="92" t="inlineStr">
        <is>
          <t>https://www.cronoshare.com.br/quanto-custa/construir-galpao-industrial</t>
        </is>
      </c>
      <c r="D12" s="84" t="inlineStr">
        <is>
          <t>Faixas de custo por tipo estrutural</t>
        </is>
      </c>
    </row>
    <row r="13" ht="26" customHeight="1">
      <c r="B13" s="83" t="inlineStr">
        <is>
          <t>RuaCEP — CEP 38046-395</t>
        </is>
      </c>
      <c r="C13" s="92" t="inlineStr">
        <is>
          <t>https://www.ruacep.com.br/mg/uberaba/parque-das-laranjeiras/38046395-avenida-marcia-helena-moreira-silva/</t>
        </is>
      </c>
      <c r="D13" s="84" t="inlineStr">
        <is>
          <t>Confirmação de bairro e da esquina com avenida</t>
        </is>
      </c>
    </row>
    <row r="14" ht="26" customHeight="1">
      <c r="B14" s="83" t="inlineStr">
        <is>
          <t>Prefeitura de Uberaba — IPTU</t>
        </is>
      </c>
      <c r="C14" s="92" t="inlineStr">
        <is>
          <t>https://iptu.uberaba.mg.gov.br/tributos/faq.php</t>
        </is>
      </c>
      <c r="D14" s="84" t="inlineStr">
        <is>
          <t>Referência de IPTU (alíquota a confirmar na guia)</t>
        </is>
      </c>
    </row>
    <row r="15" ht="26" customHeight="1">
      <c r="B15" s="83" t="inlineStr">
        <is>
          <t>ABNT NBR 14653-1 e 14653-2</t>
        </is>
      </c>
      <c r="C15" s="92" t="inlineStr">
        <is>
          <t>Norma técnica de avaliação de bens</t>
        </is>
      </c>
      <c r="D15" s="84" t="inlineStr">
        <is>
          <t>Metodologia, saneamento e grau de fundamentação</t>
        </is>
      </c>
    </row>
    <row r="18">
      <c r="B18" s="93" t="inlineStr">
        <is>
          <t>by lions intelligence · www.lionsintelligence.com.br</t>
        </is>
      </c>
    </row>
  </sheetData>
  <mergeCells count="1">
    <mergeCell ref="A1:D1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2026-08-03T14:22:45Z</dcterms:created>
  <dcterms:modified xmlns:dcterms="http://purl.org/dc/terms/" xmlns:xsi="http://www.w3.org/2001/XMLSchema-instance" xsi:type="dcterms:W3CDTF">2026-08-03T14:22:45Z</dcterms:modified>
</cp:coreProperties>
</file>